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9690" windowHeight="6990" tabRatio="758" activeTab="0"/>
  </bookViews>
  <sheets>
    <sheet name="Revenue&amp;FixedCosts" sheetId="1" r:id="rId1"/>
    <sheet name="Crop#1" sheetId="2" r:id="rId2"/>
    <sheet name="Crop#2" sheetId="3" r:id="rId3"/>
    <sheet name="Crop#3" sheetId="4" r:id="rId4"/>
    <sheet name="Crop#4" sheetId="5" r:id="rId5"/>
    <sheet name="Crop#5" sheetId="6" r:id="rId6"/>
    <sheet name="Crop#6" sheetId="7" r:id="rId7"/>
    <sheet name="CropShareResults" sheetId="8" r:id="rId8"/>
    <sheet name="CashLeaseResults" sheetId="9" r:id="rId9"/>
    <sheet name="FlexLeaseResults" sheetId="10" r:id="rId10"/>
  </sheets>
  <definedNames>
    <definedName name="\B">'Revenue&amp;FixedCosts'!$P$26</definedName>
    <definedName name="\C">'Revenue&amp;FixedCosts'!$P$51</definedName>
    <definedName name="\F">'Revenue&amp;FixedCosts'!$P$28</definedName>
    <definedName name="\H">'Revenue&amp;FixedCosts'!$P$45</definedName>
    <definedName name="\P">'Revenue&amp;FixedCosts'!$P$34</definedName>
    <definedName name="\R">'Revenue&amp;FixedCosts'!$P$20</definedName>
    <definedName name="\S">'Revenue&amp;FixedCosts'!$P$24</definedName>
    <definedName name="\W">'Revenue&amp;FixedCosts'!$P$22</definedName>
    <definedName name="\X">'Revenue&amp;FixedCosts'!$P$30</definedName>
    <definedName name="\Y">'Revenue&amp;FixedCosts'!$P$32</definedName>
    <definedName name="_Order1" hidden="1">0</definedName>
    <definedName name="_Order2" hidden="1">0</definedName>
    <definedName name="_xlnm.Print_Area" localSheetId="0">'Revenue&amp;FixedCosts'!$A$67:$K$79</definedName>
    <definedName name="Print_Area_MI" localSheetId="0">'Revenue&amp;FixedCosts'!$B$67:$L$79</definedName>
    <definedName name="solver_adj" localSheetId="1" hidden="1">'Crop#1'!$O$18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2</definedName>
    <definedName name="solver_neg" localSheetId="1" hidden="1">2</definedName>
    <definedName name="solver_num" localSheetId="1" hidden="1">0</definedName>
    <definedName name="solver_nwt" localSheetId="1" hidden="1">1</definedName>
    <definedName name="solver_opt" localSheetId="1" hidden="1">'Crop#1'!$O$20</definedName>
    <definedName name="solver_pre" localSheetId="1" hidden="1">0.000001</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3</definedName>
    <definedName name="solver_val" localSheetId="1" hidden="1">25</definedName>
  </definedNames>
  <calcPr fullCalcOnLoad="1"/>
</workbook>
</file>

<file path=xl/comments1.xml><?xml version="1.0" encoding="utf-8"?>
<comments xmlns="http://schemas.openxmlformats.org/spreadsheetml/2006/main">
  <authors>
    <author>Duane Griffith</author>
  </authors>
  <commentList>
    <comment ref="G23" authorId="0">
      <text>
        <r>
          <rPr>
            <b/>
            <sz val="9"/>
            <rFont val="Tahoma"/>
            <family val="2"/>
          </rPr>
          <t>The real interest rate is the nominal rate (stated or quoted rate) minus the inflation rate.  Example:  The quoted rate to borrow money is  9% and the inflation rate is 3% then the real interest rate is 6%.</t>
        </r>
      </text>
    </comment>
    <comment ref="F23" authorId="0">
      <text>
        <r>
          <rPr>
            <b/>
            <sz val="9"/>
            <rFont val="Tahoma"/>
            <family val="2"/>
          </rPr>
          <t xml:space="preserve">When entering investment values, enter only the value related to the portion of the fixed/capital asset that is utilized by the enterprises you are considering.  For example, if the total value of machinery and equipment is $200,000 but this machinery is used to farm other land (40% of the total use of the machinery and equipment) enter only the portion of the total value attributable to this lease, $120,000 =(60% x $200,000).  
In some instance, it may be necessary to prorate the value of Land &amp; Improvements and Buildings and Fences.
</t>
        </r>
      </text>
    </comment>
    <comment ref="B9" authorId="0">
      <text>
        <r>
          <rPr>
            <b/>
            <sz val="10"/>
            <rFont val="Tahoma"/>
            <family val="2"/>
          </rPr>
          <t xml:space="preserve">For each enterprise you wish to consider (Crop#1 -- Crop#6) at right, enter the name of the crop enterprise below the Crop#X heading.  These enterprise labels are transferred throughout this worksheet where appropriate.  The page tabs at the bottom of this sheet correspond to the enterprise you will enter here.  Again, your enterprise labels are also listed at the top of every page to assist in keeping track of the enterprise you are working with.  </t>
        </r>
        <r>
          <rPr>
            <sz val="10"/>
            <rFont val="Tahoma"/>
            <family val="2"/>
          </rPr>
          <t xml:space="preserve">
</t>
        </r>
      </text>
    </comment>
  </commentList>
</comments>
</file>

<file path=xl/comments8.xml><?xml version="1.0" encoding="utf-8"?>
<comments xmlns="http://schemas.openxmlformats.org/spreadsheetml/2006/main">
  <authors>
    <author>Duane Griffith</author>
  </authors>
  <commentList>
    <comment ref="H45" authorId="0">
      <text>
        <r>
          <rPr>
            <b/>
            <sz val="8"/>
            <rFont val="Tahoma"/>
            <family val="2"/>
          </rPr>
          <t xml:space="preserve">Please note that this figure excludes non-cash expenses estimated in this spreadsheet.  These include Depreciation, Unpaid Labor and Interest on Investment.  However, interest on operating is included as a cash expense.  While depreciation and unpaid labor are "non-cash," interest on investment is an estimate or opportunity cost and there may actually be cash interest costs incurred by one or both parties to the lease, hence this number may not be completely accurate.  </t>
        </r>
      </text>
    </comment>
    <comment ref="I45" authorId="0">
      <text>
        <r>
          <rPr>
            <b/>
            <sz val="8"/>
            <rFont val="Tahoma"/>
            <family val="2"/>
          </rPr>
          <t xml:space="preserve">Please note that this figure excludes non-cash expenses estimated in this spreadsheet.  These include Depreciation, Unpaid Labor and Interest on Investment.  However, interest on operating is included as a cash expense.  While depreciation and unpaid labor are "non-cash," interest on investment is an estimate or opportunity cost and there may actually be cash interest costs incurred by one or both parties to the lease, hence this number may not be completely accurate.  </t>
        </r>
        <r>
          <rPr>
            <sz val="8"/>
            <rFont val="Tahoma"/>
            <family val="2"/>
          </rPr>
          <t xml:space="preserve">
</t>
        </r>
      </text>
    </comment>
    <comment ref="H41" authorId="0">
      <text>
        <r>
          <rPr>
            <b/>
            <sz val="8"/>
            <rFont val="Tahoma"/>
            <family val="2"/>
          </rPr>
          <t xml:space="preserve">Please note that this figure excludes non-cash expenses estimated in this spreadsheet.  These include Depreciation, Unpaid Labor and Interest on Investment.  While depreciation and unpaid labor are "non-cash," interest on investment is an estimate or opportunity cost and there may actually be cash interest costs incurred by one or both parties to the lease, hence this number may not be completely accurate.  </t>
        </r>
      </text>
    </comment>
    <comment ref="H42" authorId="0">
      <text>
        <r>
          <rPr>
            <b/>
            <sz val="8"/>
            <rFont val="Tahoma"/>
            <family val="2"/>
          </rPr>
          <t xml:space="preserve">Please note that this figure excludes non-cash expenses estimated in this spreadsheet.  These include Depreciation, Unpaid Labor and Interest on Investment.  While depreciation and unpaid labor are "non-cash," interest on investment is an estimate or opportunity cost and there may actually be cash interest costs incurred by one or both parties to the lease, hence this number may not be completely accurate.  </t>
        </r>
      </text>
    </comment>
    <comment ref="I41" authorId="0">
      <text>
        <r>
          <rPr>
            <b/>
            <sz val="8"/>
            <rFont val="Tahoma"/>
            <family val="2"/>
          </rPr>
          <t xml:space="preserve">Please note that this figure excludes non-cash expenses estimated in this spreadsheet.  These include Depreciation, Unpaid Labor and Interest on Investment.  While depreciation and unpaid labor are "non-cash," interest on investment is an estimate or opportunity cost and there may actually be cash interest costs incurred by one or both parties to the lease, hence this number may not be completely accurate.  </t>
        </r>
        <r>
          <rPr>
            <sz val="8"/>
            <rFont val="Tahoma"/>
            <family val="2"/>
          </rPr>
          <t xml:space="preserve">
</t>
        </r>
      </text>
    </comment>
    <comment ref="I42" authorId="0">
      <text>
        <r>
          <rPr>
            <b/>
            <sz val="8"/>
            <rFont val="Tahoma"/>
            <family val="2"/>
          </rPr>
          <t xml:space="preserve">Please note that this figure excludes non-cash expenses estimated in this spreadsheet.  These include Depreciation, Unpaid Labor and Interest on Investment.  While depreciation and unpaid labor are "non-cash," interest on investment is an estimate or opportunity cost and there may actually be cash interest costs incurred by one or both parties to the lease, hence this number may not be completely accurate.  </t>
        </r>
        <r>
          <rPr>
            <sz val="8"/>
            <rFont val="Tahoma"/>
            <family val="2"/>
          </rPr>
          <t xml:space="preserve">
</t>
        </r>
      </text>
    </comment>
  </commentList>
</comments>
</file>

<file path=xl/sharedStrings.xml><?xml version="1.0" encoding="utf-8"?>
<sst xmlns="http://schemas.openxmlformats.org/spreadsheetml/2006/main" count="901" uniqueCount="243">
  <si>
    <t>Estimated</t>
  </si>
  <si>
    <t>Real</t>
  </si>
  <si>
    <t>Percent</t>
  </si>
  <si>
    <t>Value</t>
  </si>
  <si>
    <t>Total</t>
  </si>
  <si>
    <t>Interest</t>
  </si>
  <si>
    <t>Landlords</t>
  </si>
  <si>
    <t>Tenants</t>
  </si>
  <si>
    <t>Rate %</t>
  </si>
  <si>
    <t>Share</t>
  </si>
  <si>
    <t xml:space="preserve">  Land &amp; Improvements</t>
  </si>
  <si>
    <t xml:space="preserve">  Buldgs &amp; Fences-Value Capacity Util.</t>
  </si>
  <si>
    <t xml:space="preserve">  Supplies</t>
  </si>
  <si>
    <t>Total Opportunity Costs on Investment</t>
  </si>
  <si>
    <t>Dep.</t>
  </si>
  <si>
    <t xml:space="preserve">  Buildings &amp; Fences</t>
  </si>
  <si>
    <t xml:space="preserve">  Machinery</t>
  </si>
  <si>
    <t xml:space="preserve">  Equipment</t>
  </si>
  <si>
    <t xml:space="preserve">  Other Depreciation Costs</t>
  </si>
  <si>
    <t>Taxes</t>
  </si>
  <si>
    <t xml:space="preserve">  Other Tax Costs</t>
  </si>
  <si>
    <t>Insur.</t>
  </si>
  <si>
    <t>Enter the information requested for each crop listed:</t>
  </si>
  <si>
    <t>Acres</t>
  </si>
  <si>
    <t>Crop#1</t>
  </si>
  <si>
    <t>Crop#2</t>
  </si>
  <si>
    <t>Involved</t>
  </si>
  <si>
    <t>Number of Acres</t>
  </si>
  <si>
    <t>Expected Yield</t>
  </si>
  <si>
    <t>Expected Price</t>
  </si>
  <si>
    <t>Other Revenue/Ac.</t>
  </si>
  <si>
    <t>Revenue</t>
  </si>
  <si>
    <t>Enterprise Revenue</t>
  </si>
  <si>
    <t>Winter Wheat</t>
  </si>
  <si>
    <t>Enter the Total Costs Per Acre for Winter Wheat</t>
  </si>
  <si>
    <t>Price</t>
  </si>
  <si>
    <t>Quantity</t>
  </si>
  <si>
    <t>Per</t>
  </si>
  <si>
    <t>UNITS</t>
  </si>
  <si>
    <t>Unit</t>
  </si>
  <si>
    <t>BUSHEL</t>
  </si>
  <si>
    <t>UNIT</t>
  </si>
  <si>
    <t>ACRE</t>
  </si>
  <si>
    <t>LBS.</t>
  </si>
  <si>
    <t/>
  </si>
  <si>
    <t>HOURS</t>
  </si>
  <si>
    <t>DOLLARS</t>
  </si>
  <si>
    <t>Enter the Total Costs Per Acre for Spring Wheat</t>
  </si>
  <si>
    <t>Enter The Costs Per Acre for Barley</t>
  </si>
  <si>
    <t>Summer Fallow</t>
  </si>
  <si>
    <t>Enter The Costs Per Acre For Other Crop # 1</t>
  </si>
  <si>
    <t>Enter The Costs Per Acre For Other Crop # 2</t>
  </si>
  <si>
    <t>Tenant</t>
  </si>
  <si>
    <t>Landlord</t>
  </si>
  <si>
    <t>Total Ownership and Operating Costs by Share</t>
  </si>
  <si>
    <t>Percent of Total Contributions Made be Each Party</t>
  </si>
  <si>
    <t>Total Acres Leased</t>
  </si>
  <si>
    <t>Per Acre Cost by Share (Based on Total Acres)</t>
  </si>
  <si>
    <t>Cash Lease Arrangements (Based on Cost Contributions Approach)</t>
  </si>
  <si>
    <t xml:space="preserve">  It is assumed here that if the answer is Y (the landlord will pay a portion of operating</t>
  </si>
  <si>
    <t xml:space="preserve">  program recalculates the cost contributions of each party without the landlord sharing</t>
  </si>
  <si>
    <t>Total Costs Operating and Ownership</t>
  </si>
  <si>
    <t>Percent share calculations without the landlord sharing any operating costs, if so.</t>
  </si>
  <si>
    <t xml:space="preserve">Discount Rate </t>
  </si>
  <si>
    <t>For Cash</t>
  </si>
  <si>
    <t>Based on Total Acres</t>
  </si>
  <si>
    <t>Leased</t>
  </si>
  <si>
    <t>This procedure is based on the yields and prices that were entered on rows 57 and 58 of this spreadsheet,</t>
  </si>
  <si>
    <t>(and are shown on rows 348 and 349 also).  These are the "agreed upon base price and yield.</t>
  </si>
  <si>
    <t>adjustment for risk is shown in cell H352.</t>
  </si>
  <si>
    <t xml:space="preserve">Cash Lease adjusted for Yield Variation </t>
  </si>
  <si>
    <t>New Cash Lease Based on Actual Yields Weighted by Acres In Each Enterprise</t>
  </si>
  <si>
    <t>Actual Yield</t>
  </si>
  <si>
    <t>Yield Ratio</t>
  </si>
  <si>
    <t>Enter Percent</t>
  </si>
  <si>
    <t>Increment in Yield</t>
  </si>
  <si>
    <t>Entered Percent Change.</t>
  </si>
  <si>
    <t>Based on</t>
  </si>
  <si>
    <t>% Yield Change</t>
  </si>
  <si>
    <r>
      <t xml:space="preserve">Varied </t>
    </r>
    <r>
      <rPr>
        <b/>
        <sz val="12"/>
        <rFont val="Times New Roman"/>
        <family val="1"/>
      </rPr>
      <t>Yields</t>
    </r>
  </si>
  <si>
    <t>Three Increment Dec.</t>
  </si>
  <si>
    <t>Two Increment Dec.</t>
  </si>
  <si>
    <t>One Increment Dec.</t>
  </si>
  <si>
    <t>Specified Yield</t>
  </si>
  <si>
    <t>One Increment Inc.</t>
  </si>
  <si>
    <t>Two Increment Inc.</t>
  </si>
  <si>
    <t>Three Increment Inc.</t>
  </si>
  <si>
    <t xml:space="preserve">Cash Lease adjusted for Price Variation </t>
  </si>
  <si>
    <t>New Cash Lease Based on Actual Prices Weighted by Acres In Each Enterprise</t>
  </si>
  <si>
    <t>Actual Price</t>
  </si>
  <si>
    <t>Price Ratio</t>
  </si>
  <si>
    <t>Increment in Price</t>
  </si>
  <si>
    <t>% Price Change</t>
  </si>
  <si>
    <r>
      <t xml:space="preserve">Varied </t>
    </r>
    <r>
      <rPr>
        <b/>
        <sz val="12"/>
        <rFont val="Times New Roman"/>
        <family val="1"/>
      </rPr>
      <t>Prices</t>
    </r>
  </si>
  <si>
    <t>Specified Price</t>
  </si>
  <si>
    <t>Will the Landlord pay operating costs for the enterprises under a cash lease.  (Y/N)</t>
  </si>
  <si>
    <t>You must complete the costs share calculations for each enterprise first.</t>
  </si>
  <si>
    <t xml:space="preserve">established by the landlord and tenant before the lease is initiated.  The base cash lease rate after initial </t>
  </si>
  <si>
    <r>
      <t xml:space="preserve">Sensitivity Table for </t>
    </r>
    <r>
      <rPr>
        <b/>
        <sz val="14"/>
        <rFont val="Times New Roman"/>
        <family val="1"/>
      </rPr>
      <t>Yield</t>
    </r>
    <r>
      <rPr>
        <sz val="12"/>
        <rFont val="Times New Roman"/>
        <family val="1"/>
      </rPr>
      <t xml:space="preserve"> Increase/Decrease Based on User </t>
    </r>
  </si>
  <si>
    <r>
      <t xml:space="preserve">Sensitivity Table for </t>
    </r>
    <r>
      <rPr>
        <b/>
        <sz val="14"/>
        <rFont val="Times New Roman"/>
        <family val="1"/>
      </rPr>
      <t>Price</t>
    </r>
    <r>
      <rPr>
        <sz val="12"/>
        <rFont val="Times New Roman"/>
        <family val="1"/>
      </rPr>
      <t xml:space="preserve"> Increase/Decrease Based on User </t>
    </r>
  </si>
  <si>
    <t>Both the Cash Lease and Flexible Cash Lease calculations are driven off from the Cost Share Lease Calculations.</t>
  </si>
  <si>
    <r>
      <t xml:space="preserve">from previously specified "expected" </t>
    </r>
    <r>
      <rPr>
        <sz val="12"/>
        <color indexed="10"/>
        <rFont val="Times New Roman"/>
        <family val="1"/>
      </rPr>
      <t>crop yields.</t>
    </r>
  </si>
  <si>
    <r>
      <t xml:space="preserve">from previously specified "expected" </t>
    </r>
    <r>
      <rPr>
        <sz val="12"/>
        <color indexed="10"/>
        <rFont val="Times New Roman"/>
        <family val="1"/>
      </rPr>
      <t>crop price.</t>
    </r>
  </si>
  <si>
    <t>Results for Crop Share lease calculations for each enterprise utilized.</t>
  </si>
  <si>
    <t>Initial Cash Lease Per acres is adjusted by both Yield and Price ratios.</t>
  </si>
  <si>
    <t xml:space="preserve">Established Cash Lease    </t>
  </si>
  <si>
    <t>Established Yield</t>
  </si>
  <si>
    <t>Established Price</t>
  </si>
  <si>
    <t>Rate Per Acre</t>
  </si>
  <si>
    <t>Total Adjusted Cash Lease Payment</t>
  </si>
  <si>
    <t>Total Lease Payment Based on Adjusted Percent Share and Discount for Cash</t>
  </si>
  <si>
    <t>Total Net Return for all acres in the lease</t>
  </si>
  <si>
    <t>Total Net Cash Return (Based on Total Acreas Leased)</t>
  </si>
  <si>
    <t>Crop#3</t>
  </si>
  <si>
    <t>Crop#4</t>
  </si>
  <si>
    <t>Crop#5</t>
  </si>
  <si>
    <t>Crop#6</t>
  </si>
  <si>
    <t>Spring Wheat</t>
  </si>
  <si>
    <t xml:space="preserve">Total Operating Costs For </t>
  </si>
  <si>
    <t>Crop #2</t>
  </si>
  <si>
    <t>Crop #1</t>
  </si>
  <si>
    <t>Crop #3</t>
  </si>
  <si>
    <t>Crop #4</t>
  </si>
  <si>
    <t>Crop #5</t>
  </si>
  <si>
    <t>Crop #6</t>
  </si>
  <si>
    <t>Help</t>
  </si>
  <si>
    <t xml:space="preserve"> </t>
  </si>
  <si>
    <t>Total Ownership Costs:  (Interest, Depreciation, Taxes, Insurance)</t>
  </si>
  <si>
    <t xml:space="preserve">Enter Crop Name and Price, Yield, &amp; Other Revenue Information </t>
  </si>
  <si>
    <r>
      <t>You are allowed/required to enter information shown in</t>
    </r>
    <r>
      <rPr>
        <sz val="14"/>
        <color indexed="12"/>
        <rFont val="Times New Roman"/>
        <family val="1"/>
      </rPr>
      <t xml:space="preserve"> blue text </t>
    </r>
    <r>
      <rPr>
        <sz val="14"/>
        <rFont val="Times New Roman"/>
        <family val="1"/>
      </rPr>
      <t>in this spreadsheet.</t>
    </r>
  </si>
  <si>
    <t>Ownership Costs of Investments</t>
  </si>
  <si>
    <t>Investment Costs of Capital Assets Utilized</t>
  </si>
  <si>
    <t>Not Used</t>
  </si>
  <si>
    <t>Check for updates to this spreadsheet at</t>
  </si>
  <si>
    <t>Written by Duane Griffith</t>
  </si>
  <si>
    <t>Farm Management Specialist at Montana State University</t>
  </si>
  <si>
    <t>Net Cash available to pay calculated lease payment (using expected prices and yields).</t>
  </si>
  <si>
    <t xml:space="preserve">   (Fuel and Oil)</t>
  </si>
  <si>
    <t xml:space="preserve">   (Repairs)</t>
  </si>
  <si>
    <t>Seed</t>
  </si>
  <si>
    <t>Chemicals _____________</t>
  </si>
  <si>
    <t>Fertilizer</t>
  </si>
  <si>
    <t>Insurance (Crop)</t>
  </si>
  <si>
    <t>Machinery Operating Costs</t>
  </si>
  <si>
    <t>Hired Labor</t>
  </si>
  <si>
    <t>Unpaid Labor</t>
  </si>
  <si>
    <t xml:space="preserve">   Owner/Landlord</t>
  </si>
  <si>
    <t xml:space="preserve">   Operator/Tenant</t>
  </si>
  <si>
    <t xml:space="preserve">   Tenant's Spouse</t>
  </si>
  <si>
    <t xml:space="preserve">   Tenant's Children</t>
  </si>
  <si>
    <t>Interest On Preharvest Costs</t>
  </si>
  <si>
    <t xml:space="preserve">   Wages</t>
  </si>
  <si>
    <t xml:space="preserve">   Social Security</t>
  </si>
  <si>
    <t xml:space="preserve">   Workman's Comp.</t>
  </si>
  <si>
    <t>Combine Operating Costs Only</t>
  </si>
  <si>
    <t>Truck Operating Costs Only</t>
  </si>
  <si>
    <t>Interest On Harvest Costs</t>
  </si>
  <si>
    <t xml:space="preserve">  Avg. Months Loan Outstanding**</t>
  </si>
  <si>
    <t xml:space="preserve">  Avg. Months Loan Outstanding*</t>
  </si>
  <si>
    <t>Preharvest Costs</t>
  </si>
  <si>
    <t>Harvest Costs</t>
  </si>
  <si>
    <t>Malt Barley</t>
  </si>
  <si>
    <t>Custom Chemical Application</t>
  </si>
  <si>
    <t>Custom Fertilizer Application</t>
  </si>
  <si>
    <t>Custom Machinery Work</t>
  </si>
  <si>
    <t>Other Misc.</t>
  </si>
  <si>
    <t xml:space="preserve">   Custom Combine</t>
  </si>
  <si>
    <t xml:space="preserve">   Custom Haul</t>
  </si>
  <si>
    <r>
      <t xml:space="preserve">Net Return Over </t>
    </r>
    <r>
      <rPr>
        <b/>
        <sz val="14"/>
        <color indexed="10"/>
        <rFont val="Times New Roman"/>
        <family val="1"/>
      </rPr>
      <t>Total Costs</t>
    </r>
    <r>
      <rPr>
        <b/>
        <sz val="14"/>
        <rFont val="Times New Roman"/>
        <family val="1"/>
      </rPr>
      <t xml:space="preserve"> Per Acre (Based on Total Acres Leased)</t>
    </r>
  </si>
  <si>
    <r>
      <t xml:space="preserve">Net Return Over </t>
    </r>
    <r>
      <rPr>
        <b/>
        <sz val="14"/>
        <color indexed="10"/>
        <rFont val="Times New Roman"/>
        <family val="1"/>
      </rPr>
      <t>Cash Costs</t>
    </r>
    <r>
      <rPr>
        <b/>
        <sz val="14"/>
        <rFont val="Times New Roman"/>
        <family val="1"/>
      </rPr>
      <t xml:space="preserve"> Per Acre (Based on Total Acres Leased)</t>
    </r>
  </si>
  <si>
    <r>
      <t>Depreciation</t>
    </r>
    <r>
      <rPr>
        <sz val="14"/>
        <rFont val="Times New Roman"/>
        <family val="1"/>
      </rPr>
      <t xml:space="preserve"> Ownership Costs</t>
    </r>
  </si>
  <si>
    <r>
      <t xml:space="preserve">Tax </t>
    </r>
    <r>
      <rPr>
        <sz val="14"/>
        <rFont val="Times New Roman"/>
        <family val="1"/>
      </rPr>
      <t xml:space="preserve">Ownership Costs: </t>
    </r>
  </si>
  <si>
    <r>
      <t xml:space="preserve">Insurance </t>
    </r>
    <r>
      <rPr>
        <sz val="14"/>
        <rFont val="Times New Roman"/>
        <family val="1"/>
      </rPr>
      <t xml:space="preserve">Ownership Costs: </t>
    </r>
  </si>
  <si>
    <t>Durum</t>
  </si>
  <si>
    <t>ton</t>
  </si>
  <si>
    <t>46-0-0</t>
  </si>
  <si>
    <t>11-52-0</t>
  </si>
  <si>
    <t>Tractor/Powered Equip. Operating Cost</t>
  </si>
  <si>
    <t>Total Operating Costs Per Acre</t>
  </si>
  <si>
    <t>Total Operating Costs Per Acre for Tenant &amp; Landlord</t>
  </si>
  <si>
    <t>&lt; Lbs Active</t>
  </si>
  <si>
    <t>Nitrogen</t>
  </si>
  <si>
    <t>Phosphate</t>
  </si>
  <si>
    <t>Inert</t>
  </si>
  <si>
    <t>Lbs blend</t>
  </si>
  <si>
    <t>applied</t>
  </si>
  <si>
    <t>solved for N</t>
  </si>
  <si>
    <t>Check Sum</t>
  </si>
  <si>
    <t>Price Per Ton</t>
  </si>
  <si>
    <t>Price Per Lb Applied</t>
  </si>
  <si>
    <t>Price Per ton</t>
  </si>
  <si>
    <t>Price Per Lb of Active</t>
  </si>
  <si>
    <t>Check Sum Repaird Costs for Tillage system</t>
  </si>
  <si>
    <t>Check Sum Fuel cost from Tillage systems</t>
  </si>
  <si>
    <t xml:space="preserve">  Other Insurance Costs: (NOT CROP)</t>
  </si>
  <si>
    <t>Methods and Procedures of Estimating Rent for Crop Share, and Flexible Cash Leases.</t>
  </si>
  <si>
    <r>
      <t xml:space="preserve">Total </t>
    </r>
    <r>
      <rPr>
        <b/>
        <sz val="14"/>
        <color indexed="16"/>
        <rFont val="Times New Roman"/>
        <family val="1"/>
      </rPr>
      <t>Ownership</t>
    </r>
    <r>
      <rPr>
        <b/>
        <sz val="14"/>
        <rFont val="Times New Roman"/>
        <family val="1"/>
      </rPr>
      <t xml:space="preserve"> Costs by Share</t>
    </r>
  </si>
  <si>
    <t>LBS.-Active</t>
  </si>
  <si>
    <t>Breakeven to Cover Operating Costs</t>
  </si>
  <si>
    <t>Acres this crop</t>
  </si>
  <si>
    <t xml:space="preserve">http://www.montana.edu/softwaredownloads/ </t>
  </si>
  <si>
    <t>Click this button when you wish to print your input and results.</t>
  </si>
  <si>
    <t>Last Updated: April 2011</t>
  </si>
  <si>
    <t>Operating Loan Interest Rate</t>
  </si>
  <si>
    <r>
      <t xml:space="preserve">Total </t>
    </r>
    <r>
      <rPr>
        <b/>
        <sz val="14"/>
        <color indexed="12"/>
        <rFont val="Times New Roman"/>
        <family val="1"/>
      </rPr>
      <t>Operating</t>
    </r>
    <r>
      <rPr>
        <b/>
        <sz val="14"/>
        <rFont val="Times New Roman"/>
        <family val="1"/>
      </rPr>
      <t xml:space="preserve"> Costs For </t>
    </r>
  </si>
  <si>
    <r>
      <t xml:space="preserve">Total </t>
    </r>
    <r>
      <rPr>
        <b/>
        <sz val="14"/>
        <color indexed="16"/>
        <rFont val="Times New Roman"/>
        <family val="1"/>
      </rPr>
      <t>Ownership</t>
    </r>
    <r>
      <rPr>
        <b/>
        <sz val="14"/>
        <rFont val="Times New Roman"/>
        <family val="1"/>
      </rPr>
      <t xml:space="preserve"> and </t>
    </r>
    <r>
      <rPr>
        <b/>
        <sz val="14"/>
        <color indexed="12"/>
        <rFont val="Times New Roman"/>
        <family val="1"/>
      </rPr>
      <t>Operating</t>
    </r>
    <r>
      <rPr>
        <b/>
        <sz val="14"/>
        <rFont val="Times New Roman"/>
        <family val="1"/>
      </rPr>
      <t xml:space="preserve"> Costs by Share</t>
    </r>
  </si>
  <si>
    <t xml:space="preserve">Total Revenue From All Enterprises </t>
  </si>
  <si>
    <t>Total Revenue for each party based on expected prices and yields</t>
  </si>
  <si>
    <t>Average revenue per acre leased based on Price &amp; Yield Expectations</t>
  </si>
  <si>
    <r>
      <t xml:space="preserve">Total </t>
    </r>
    <r>
      <rPr>
        <b/>
        <sz val="14"/>
        <color indexed="12"/>
        <rFont val="Times New Roman"/>
        <family val="1"/>
      </rPr>
      <t>operating</t>
    </r>
    <r>
      <rPr>
        <b/>
        <sz val="14"/>
        <rFont val="Times New Roman"/>
        <family val="1"/>
      </rPr>
      <t xml:space="preserve"> costs per acre based on total acres leased</t>
    </r>
  </si>
  <si>
    <r>
      <t xml:space="preserve">Total </t>
    </r>
    <r>
      <rPr>
        <b/>
        <sz val="14"/>
        <color indexed="16"/>
        <rFont val="Times New Roman"/>
        <family val="1"/>
      </rPr>
      <t>ownership</t>
    </r>
    <r>
      <rPr>
        <b/>
        <sz val="14"/>
        <rFont val="Times New Roman"/>
        <family val="1"/>
      </rPr>
      <t xml:space="preserve"> costs per acre based on total acres leased.</t>
    </r>
  </si>
  <si>
    <r>
      <t xml:space="preserve">Total </t>
    </r>
    <r>
      <rPr>
        <b/>
        <sz val="14"/>
        <color indexed="12"/>
        <rFont val="Times New Roman"/>
        <family val="1"/>
      </rPr>
      <t>cash operating</t>
    </r>
    <r>
      <rPr>
        <b/>
        <sz val="14"/>
        <rFont val="Times New Roman"/>
        <family val="1"/>
      </rPr>
      <t xml:space="preserve"> costs per acre (based on total acres leased)</t>
    </r>
  </si>
  <si>
    <r>
      <t xml:space="preserve">Total </t>
    </r>
    <r>
      <rPr>
        <b/>
        <sz val="14"/>
        <color indexed="16"/>
        <rFont val="Times New Roman"/>
        <family val="1"/>
      </rPr>
      <t>cash ownership</t>
    </r>
    <r>
      <rPr>
        <b/>
        <sz val="14"/>
        <rFont val="Times New Roman"/>
        <family val="1"/>
      </rPr>
      <t xml:space="preserve"> costs per acre (based on total acres leased)</t>
    </r>
  </si>
  <si>
    <r>
      <t xml:space="preserve">Total cash </t>
    </r>
    <r>
      <rPr>
        <b/>
        <sz val="14"/>
        <color indexed="12"/>
        <rFont val="Times New Roman"/>
        <family val="1"/>
      </rPr>
      <t>operating</t>
    </r>
    <r>
      <rPr>
        <b/>
        <sz val="14"/>
        <rFont val="Times New Roman"/>
        <family val="1"/>
      </rPr>
      <t xml:space="preserve"> and </t>
    </r>
    <r>
      <rPr>
        <b/>
        <sz val="14"/>
        <color indexed="16"/>
        <rFont val="Times New Roman"/>
        <family val="1"/>
      </rPr>
      <t>ownership</t>
    </r>
    <r>
      <rPr>
        <b/>
        <sz val="14"/>
        <rFont val="Times New Roman"/>
        <family val="1"/>
      </rPr>
      <t xml:space="preserve"> costs per acre</t>
    </r>
  </si>
  <si>
    <r>
      <t>Flexible Cash Lease Arrangements Based on</t>
    </r>
    <r>
      <rPr>
        <b/>
        <sz val="16"/>
        <color indexed="10"/>
        <rFont val="Times New Roman"/>
        <family val="1"/>
      </rPr>
      <t xml:space="preserve"> </t>
    </r>
    <r>
      <rPr>
        <b/>
        <sz val="16"/>
        <color indexed="16"/>
        <rFont val="Times New Roman"/>
        <family val="1"/>
      </rPr>
      <t>Yield Variations</t>
    </r>
  </si>
  <si>
    <r>
      <t xml:space="preserve">Flexible Cash Lease Arrangements Based on </t>
    </r>
    <r>
      <rPr>
        <b/>
        <sz val="16"/>
        <color indexed="16"/>
        <rFont val="Times New Roman"/>
        <family val="1"/>
      </rPr>
      <t>Both Price and Yield Variations</t>
    </r>
  </si>
  <si>
    <r>
      <t xml:space="preserve">Flexible Cash Lease Arrangements Based on </t>
    </r>
    <r>
      <rPr>
        <b/>
        <sz val="16"/>
        <color indexed="16"/>
        <rFont val="Times New Roman"/>
        <family val="1"/>
      </rPr>
      <t>Price Variations</t>
    </r>
  </si>
  <si>
    <t xml:space="preserve">  costs) and the estimated cost sharing arrangements are correct.  If the answer is N, the </t>
  </si>
  <si>
    <t xml:space="preserve">  any operating costs (chemicals, fertilizer, seed, etc.).</t>
  </si>
  <si>
    <r>
      <t xml:space="preserve">Results shown below are dependant on the answer to the question on the CashLeastResults tab in </t>
    </r>
    <r>
      <rPr>
        <b/>
        <sz val="14"/>
        <color indexed="16"/>
        <rFont val="Times New Roman"/>
        <family val="1"/>
      </rPr>
      <t>cell   H6</t>
    </r>
    <r>
      <rPr>
        <sz val="12"/>
        <rFont val="Times New Roman"/>
        <family val="1"/>
      </rPr>
      <t xml:space="preserve">  which was: </t>
    </r>
  </si>
  <si>
    <t>N</t>
  </si>
  <si>
    <t>Total value of ownership costs supplied by both parties</t>
  </si>
  <si>
    <t xml:space="preserve">Percent share of ownership cost of each party </t>
  </si>
  <si>
    <t>Landlord's</t>
  </si>
  <si>
    <t xml:space="preserve">  Machinery-Value of Capacity Utilized</t>
  </si>
  <si>
    <t xml:space="preserve">  Equipment-Value of Capacity Utilized</t>
  </si>
  <si>
    <t xml:space="preserve">  Other</t>
  </si>
  <si>
    <t>Total Operating Costs for this Crop Enterprise</t>
  </si>
  <si>
    <t>Enter the investment costs for fixed assets-capital assets used in farming the acreage</t>
  </si>
  <si>
    <t>associated with this lease.</t>
  </si>
  <si>
    <t>&lt;not case sensative</t>
  </si>
  <si>
    <t xml:space="preserve">  =SUM(CashLeaseResults!C26*C19+CashLeaseResults!D26*D19+CashLeaseResults!E26*E19+CashLeaseResults!F26*F19+CashLeaseResults!G26*G19+CashLeaseResults!H26*H19)</t>
  </si>
  <si>
    <t xml:space="preserve">Total Leased Acres </t>
  </si>
  <si>
    <r>
      <t xml:space="preserve">Cash Lease </t>
    </r>
    <r>
      <rPr>
        <b/>
        <i/>
        <sz val="12"/>
        <color indexed="16"/>
        <rFont val="Times New Roman"/>
        <family val="1"/>
      </rPr>
      <t>Per Acre Leased</t>
    </r>
  </si>
  <si>
    <r>
      <t>Adjusted cash rate</t>
    </r>
    <r>
      <rPr>
        <b/>
        <sz val="12"/>
        <color indexed="16"/>
        <rFont val="TIMES"/>
        <family val="0"/>
      </rPr>
      <t xml:space="preserve"> per leased acre</t>
    </r>
    <r>
      <rPr>
        <sz val="12"/>
        <rFont val="TIMES"/>
        <family val="0"/>
      </rPr>
      <t xml:space="preserve"> (Landlord's)</t>
    </r>
  </si>
  <si>
    <t>Total Ownership and Operating Costs For Both Landlord and Tenant</t>
  </si>
  <si>
    <r>
      <t>Total</t>
    </r>
    <r>
      <rPr>
        <b/>
        <sz val="14"/>
        <color indexed="12"/>
        <rFont val="Times New Roman"/>
        <family val="1"/>
      </rPr>
      <t xml:space="preserve"> Operating</t>
    </r>
    <r>
      <rPr>
        <b/>
        <sz val="14"/>
        <rFont val="Times New Roman"/>
        <family val="1"/>
      </rPr>
      <t xml:space="preserve"> Costs for all Crops</t>
    </r>
  </si>
  <si>
    <r>
      <t xml:space="preserve">Total </t>
    </r>
    <r>
      <rPr>
        <b/>
        <sz val="14"/>
        <color indexed="16"/>
        <rFont val="Times New Roman"/>
        <family val="1"/>
      </rPr>
      <t>Ownership</t>
    </r>
    <r>
      <rPr>
        <b/>
        <sz val="14"/>
        <rFont val="Times New Roman"/>
        <family val="1"/>
      </rPr>
      <t xml:space="preserve"> Costs for all Crops</t>
    </r>
  </si>
  <si>
    <t>Per Acre Leased</t>
  </si>
  <si>
    <t>Cash Payment</t>
  </si>
  <si>
    <r>
      <rPr>
        <b/>
        <sz val="12"/>
        <color indexed="16"/>
        <rFont val="TIMES"/>
        <family val="0"/>
      </rPr>
      <t>Yield</t>
    </r>
    <r>
      <rPr>
        <b/>
        <sz val="12"/>
        <rFont val="TIMES"/>
        <family val="0"/>
      </rPr>
      <t xml:space="preserve"> adjusted cash lease payment per acre leased</t>
    </r>
  </si>
  <si>
    <r>
      <rPr>
        <b/>
        <sz val="12"/>
        <color indexed="12"/>
        <rFont val="TIMES"/>
        <family val="0"/>
      </rPr>
      <t>Price</t>
    </r>
    <r>
      <rPr>
        <b/>
        <sz val="12"/>
        <rFont val="TIMES"/>
        <family val="0"/>
      </rPr>
      <t xml:space="preserve"> adjusted cash lease payment per acre leased</t>
    </r>
  </si>
  <si>
    <r>
      <rPr>
        <b/>
        <sz val="12"/>
        <color indexed="12"/>
        <rFont val="TIMES"/>
        <family val="0"/>
      </rPr>
      <t xml:space="preserve">Price and </t>
    </r>
    <r>
      <rPr>
        <b/>
        <sz val="12"/>
        <color indexed="16"/>
        <rFont val="TIMES"/>
        <family val="0"/>
      </rPr>
      <t>Yield</t>
    </r>
    <r>
      <rPr>
        <b/>
        <sz val="12"/>
        <color indexed="12"/>
        <rFont val="TIMES"/>
        <family val="0"/>
      </rPr>
      <t xml:space="preserve"> </t>
    </r>
    <r>
      <rPr>
        <b/>
        <sz val="12"/>
        <rFont val="TIMES"/>
        <family val="0"/>
      </rPr>
      <t>adjusted cash lease payment per acre leased</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</si>
</sst>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0_);\(#,##0.000\)"/>
    <numFmt numFmtId="167" formatCode="0_)"/>
    <numFmt numFmtId="168" formatCode="_(&quot;$&quot;* #,##0.000_);_(&quot;$&quot;* \(#,##0.000\);_(&quot;$&quot;* &quot;-&quot;??_);_(@_)"/>
    <numFmt numFmtId="169" formatCode="_(&quot;$&quot;* #,##0.0_);_(&quot;$&quot;* \(#,##0.0\);_(&quot;$&quot;* &quot;-&quot;??_);_(@_)"/>
    <numFmt numFmtId="170" formatCode="_(&quot;$&quot;* #,##0_);_(&quot;$&quot;* \(#,##0\);_(&quot;$&quot;* &quot;-&quot;??_);_(@_)"/>
    <numFmt numFmtId="171" formatCode="&quot;$&quot;#,##0"/>
    <numFmt numFmtId="172" formatCode="0.0%"/>
    <numFmt numFmtId="173" formatCode="&quot;$&quot;#,##0.00"/>
    <numFmt numFmtId="174" formatCode="0.000"/>
    <numFmt numFmtId="175" formatCode="&quot;$&quot;#,##0.000"/>
    <numFmt numFmtId="176" formatCode="0.0"/>
    <numFmt numFmtId="177" formatCode="&quot;$&quot;#,##0.0_);\(&quot;$&quot;#,##0.0\)"/>
    <numFmt numFmtId="178" formatCode="&quot;$&quot;#,##0.0_);[Red]\(&quot;$&quot;#,##0.0\)"/>
    <numFmt numFmtId="179" formatCode="&quot;$&quot;#,##0.0"/>
    <numFmt numFmtId="180" formatCode="_(* #,##0.0_);_(* \(#,##0.0\);_(* &quot;-&quot;??_);_(@_)"/>
    <numFmt numFmtId="181" formatCode="_(* #,##0_);_(* \(#,##0\);_(* &quot;-&quot;??_);_(@_)"/>
    <numFmt numFmtId="182" formatCode="#,##0.0"/>
  </numFmts>
  <fonts count="83">
    <font>
      <sz val="12"/>
      <name val="TIMES"/>
      <family val="0"/>
    </font>
    <font>
      <b/>
      <sz val="10"/>
      <name val="Times New Roman"/>
      <family val="0"/>
    </font>
    <font>
      <i/>
      <sz val="10"/>
      <name val="Times New Roman"/>
      <family val="0"/>
    </font>
    <font>
      <b/>
      <i/>
      <sz val="10"/>
      <name val="Times New Roman"/>
      <family val="0"/>
    </font>
    <font>
      <sz val="10"/>
      <name val="Times New Roman"/>
      <family val="1"/>
    </font>
    <font>
      <sz val="12"/>
      <color indexed="12"/>
      <name val="TIMES"/>
      <family val="0"/>
    </font>
    <font>
      <b/>
      <sz val="18"/>
      <name val="TIMES"/>
      <family val="0"/>
    </font>
    <font>
      <sz val="12"/>
      <name val="Times New Roman"/>
      <family val="1"/>
    </font>
    <font>
      <sz val="12"/>
      <color indexed="12"/>
      <name val="Times New Roman"/>
      <family val="1"/>
    </font>
    <font>
      <b/>
      <sz val="12"/>
      <name val="Times New Roman"/>
      <family val="1"/>
    </font>
    <font>
      <b/>
      <sz val="12"/>
      <name val="TIMES"/>
      <family val="0"/>
    </font>
    <font>
      <b/>
      <sz val="14"/>
      <name val="Times New Roman"/>
      <family val="1"/>
    </font>
    <font>
      <sz val="16"/>
      <name val="Times New Roman"/>
      <family val="1"/>
    </font>
    <font>
      <b/>
      <sz val="12"/>
      <color indexed="12"/>
      <name val="Times New Roman"/>
      <family val="1"/>
    </font>
    <font>
      <b/>
      <sz val="14"/>
      <name val="TIMES"/>
      <family val="0"/>
    </font>
    <font>
      <sz val="12"/>
      <color indexed="10"/>
      <name val="Times New Roman"/>
      <family val="1"/>
    </font>
    <font>
      <b/>
      <sz val="8"/>
      <name val="Tahoma"/>
      <family val="2"/>
    </font>
    <font>
      <sz val="8"/>
      <name val="Tahoma"/>
      <family val="2"/>
    </font>
    <font>
      <b/>
      <sz val="9"/>
      <name val="Tahoma"/>
      <family val="2"/>
    </font>
    <font>
      <b/>
      <sz val="10"/>
      <name val="Tahoma"/>
      <family val="2"/>
    </font>
    <font>
      <sz val="10"/>
      <name val="Tahoma"/>
      <family val="2"/>
    </font>
    <font>
      <sz val="14"/>
      <name val="Times New Roman"/>
      <family val="1"/>
    </font>
    <font>
      <sz val="14"/>
      <color indexed="12"/>
      <name val="Times New Roman"/>
      <family val="1"/>
    </font>
    <font>
      <b/>
      <sz val="18"/>
      <color indexed="12"/>
      <name val="Times New Roman"/>
      <family val="1"/>
    </font>
    <font>
      <sz val="8"/>
      <name val="TIMES"/>
      <family val="0"/>
    </font>
    <font>
      <b/>
      <sz val="12"/>
      <color indexed="12"/>
      <name val="TIMES"/>
      <family val="0"/>
    </font>
    <font>
      <b/>
      <sz val="14"/>
      <color indexed="10"/>
      <name val="Times New Roman"/>
      <family val="1"/>
    </font>
    <font>
      <sz val="14"/>
      <color indexed="10"/>
      <name val="Times New Roman"/>
      <family val="1"/>
    </font>
    <font>
      <sz val="14"/>
      <name val="TIMES"/>
      <family val="0"/>
    </font>
    <font>
      <b/>
      <sz val="12"/>
      <color indexed="55"/>
      <name val="TIMES"/>
      <family val="0"/>
    </font>
    <font>
      <b/>
      <sz val="14"/>
      <color indexed="16"/>
      <name val="Times New Roman"/>
      <family val="1"/>
    </font>
    <font>
      <u val="single"/>
      <sz val="12"/>
      <color indexed="12"/>
      <name val="TIMES"/>
      <family val="0"/>
    </font>
    <font>
      <u val="single"/>
      <sz val="16"/>
      <color indexed="12"/>
      <name val="TIMES"/>
      <family val="0"/>
    </font>
    <font>
      <b/>
      <sz val="14"/>
      <color indexed="12"/>
      <name val="Times New Roman"/>
      <family val="1"/>
    </font>
    <font>
      <b/>
      <sz val="16"/>
      <name val="Times New Roman"/>
      <family val="1"/>
    </font>
    <font>
      <b/>
      <sz val="16"/>
      <color indexed="10"/>
      <name val="Times New Roman"/>
      <family val="1"/>
    </font>
    <font>
      <b/>
      <sz val="16"/>
      <color indexed="16"/>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10"/>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19"/>
      <name val="Times New Roman"/>
      <family val="2"/>
    </font>
    <font>
      <b/>
      <sz val="12"/>
      <color indexed="63"/>
      <name val="Times New Roman"/>
      <family val="2"/>
    </font>
    <font>
      <b/>
      <sz val="18"/>
      <color indexed="62"/>
      <name val="Cambria"/>
      <family val="2"/>
    </font>
    <font>
      <b/>
      <sz val="12"/>
      <color indexed="8"/>
      <name val="Times New Roman"/>
      <family val="2"/>
    </font>
    <font>
      <b/>
      <sz val="12"/>
      <color indexed="16"/>
      <name val="TIMES"/>
      <family val="0"/>
    </font>
    <font>
      <b/>
      <sz val="12"/>
      <color indexed="16"/>
      <name val="Times New Roman"/>
      <family val="1"/>
    </font>
    <font>
      <u val="single"/>
      <sz val="12"/>
      <color indexed="20"/>
      <name val="TIMES"/>
      <family val="0"/>
    </font>
    <font>
      <sz val="12"/>
      <color indexed="8"/>
      <name val="TIMES"/>
      <family val="0"/>
    </font>
    <font>
      <b/>
      <sz val="16"/>
      <color indexed="16"/>
      <name val="Calibri"/>
      <family val="0"/>
    </font>
    <font>
      <sz val="16"/>
      <name val="TIMES"/>
      <family val="0"/>
    </font>
    <font>
      <b/>
      <i/>
      <sz val="12"/>
      <color indexed="16"/>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2"/>
      <color theme="11"/>
      <name val="TIMES"/>
      <family val="0"/>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b/>
      <sz val="12"/>
      <color rgb="FF800000"/>
      <name val="TIMES"/>
      <family val="0"/>
    </font>
    <font>
      <b/>
      <sz val="12"/>
      <color rgb="FF800000"/>
      <name val="Times New Roman"/>
      <family val="1"/>
    </font>
    <font>
      <b/>
      <sz val="16"/>
      <color rgb="FF800000"/>
      <name val="Times New Roman"/>
      <family val="1"/>
    </font>
    <font>
      <sz val="14"/>
      <color rgb="FF0000FF"/>
      <name val="Times New Roman"/>
      <family val="1"/>
    </font>
    <font>
      <b/>
      <sz val="12"/>
      <color rgb="FF0000FF"/>
      <name val="Times New Roman"/>
      <family val="1"/>
    </font>
    <font>
      <b/>
      <sz val="8"/>
      <name val="TIMES"/>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3" tint="0.7999799847602844"/>
        <bgColor indexed="64"/>
      </patternFill>
    </fill>
    <fill>
      <patternFill patternType="solid">
        <fgColor rgb="FF92D05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top>
        <color indexed="63"/>
      </top>
      <bottom>
        <color indexed="63"/>
      </bottom>
    </border>
    <border>
      <left>
        <color indexed="63"/>
      </left>
      <right style="thin">
        <color indexed="8"/>
      </right>
      <top>
        <color indexed="63"/>
      </top>
      <bottom style="thin"/>
    </border>
    <border>
      <left style="thin"/>
      <right>
        <color indexed="63"/>
      </right>
      <top style="thin"/>
      <bottom style="thin"/>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style="thick">
        <color indexed="40"/>
      </left>
      <right>
        <color indexed="63"/>
      </right>
      <top>
        <color indexed="63"/>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n"/>
      <top style="thin"/>
      <bottom>
        <color indexed="63"/>
      </bottom>
    </border>
    <border>
      <left style="thin">
        <color indexed="8"/>
      </left>
      <right style="thin">
        <color indexed="8"/>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style="thin">
        <color indexed="8"/>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ck">
        <color indexed="40"/>
      </right>
      <top style="thick">
        <color indexed="40"/>
      </top>
      <bottom>
        <color indexed="63"/>
      </bottom>
    </border>
    <border>
      <left>
        <color indexed="63"/>
      </left>
      <right style="thick">
        <color indexed="40"/>
      </right>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style="thin"/>
    </border>
    <border>
      <left style="thin"/>
      <right style="thin"/>
      <top style="thin"/>
      <bottom style="medium"/>
    </border>
    <border>
      <left style="thin">
        <color indexed="8"/>
      </left>
      <right>
        <color indexed="63"/>
      </right>
      <top>
        <color indexed="63"/>
      </top>
      <bottom style="thin">
        <color indexed="8"/>
      </bottom>
    </border>
    <border>
      <left>
        <color indexed="63"/>
      </left>
      <right>
        <color indexed="63"/>
      </right>
      <top>
        <color indexed="63"/>
      </top>
      <bottom style="thin">
        <color indexed="12"/>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hair">
        <color rgb="FF0000FF"/>
      </top>
      <bottom style="hair">
        <color rgb="FF0000FF"/>
      </bottom>
    </border>
    <border>
      <left>
        <color indexed="63"/>
      </left>
      <right>
        <color indexed="63"/>
      </right>
      <top style="hair">
        <color rgb="FF0000FF"/>
      </top>
      <bottom style="thin">
        <color indexed="8"/>
      </bottom>
    </border>
    <border>
      <left style="hair">
        <color rgb="FF0000FF"/>
      </left>
      <right>
        <color indexed="63"/>
      </right>
      <top style="hair">
        <color rgb="FF0000FF"/>
      </top>
      <bottom style="hair">
        <color rgb="FF0000FF"/>
      </bottom>
    </border>
    <border>
      <left style="hair">
        <color rgb="FF0000FF"/>
      </left>
      <right>
        <color indexed="63"/>
      </right>
      <top style="hair">
        <color rgb="FF0000FF"/>
      </top>
      <bottom style="thin">
        <color indexed="8"/>
      </bottom>
    </border>
    <border>
      <left>
        <color indexed="63"/>
      </left>
      <right style="thin">
        <color indexed="8"/>
      </right>
      <top style="hair">
        <color rgb="FF0000FF"/>
      </top>
      <bottom style="hair">
        <color rgb="FF0000FF"/>
      </bottom>
    </border>
    <border>
      <left>
        <color indexed="63"/>
      </left>
      <right style="thin">
        <color indexed="8"/>
      </right>
      <top style="hair">
        <color rgb="FF0000FF"/>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style="thin"/>
      <right style="thin"/>
      <top style="medium"/>
      <bottom>
        <color indexed="63"/>
      </bottom>
    </border>
    <border>
      <left>
        <color indexed="63"/>
      </left>
      <right>
        <color indexed="63"/>
      </right>
      <top>
        <color indexed="63"/>
      </top>
      <bottom style="thin">
        <color indexed="8"/>
      </bottom>
    </border>
    <border>
      <left>
        <color indexed="63"/>
      </left>
      <right style="thin"/>
      <top style="thin">
        <color indexed="8"/>
      </top>
      <bottom>
        <color indexed="63"/>
      </bottom>
    </border>
    <border>
      <left>
        <color indexed="63"/>
      </left>
      <right style="thick">
        <color indexed="40"/>
      </right>
      <top>
        <color indexed="63"/>
      </top>
      <bottom style="thick">
        <color indexed="40"/>
      </bottom>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64" fillId="0" borderId="0" applyNumberFormat="0" applyFill="0" applyBorder="0" applyAlignment="0" applyProtection="0"/>
    <xf numFmtId="164"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4"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342">
    <xf numFmtId="164" fontId="0" fillId="0" borderId="0" xfId="0" applyAlignment="1">
      <alignment/>
    </xf>
    <xf numFmtId="164" fontId="0" fillId="0" borderId="0" xfId="0" applyNumberFormat="1" applyAlignment="1" applyProtection="1">
      <alignment/>
      <protection/>
    </xf>
    <xf numFmtId="164" fontId="5" fillId="0" borderId="0" xfId="0" applyNumberFormat="1" applyFont="1" applyAlignment="1" applyProtection="1">
      <alignment/>
      <protection locked="0"/>
    </xf>
    <xf numFmtId="164" fontId="0" fillId="0" borderId="0" xfId="0" applyAlignment="1">
      <alignment horizontal="left"/>
    </xf>
    <xf numFmtId="164" fontId="6" fillId="0" borderId="0" xfId="0" applyNumberFormat="1" applyFont="1" applyAlignment="1" applyProtection="1">
      <alignment horizontal="left"/>
      <protection/>
    </xf>
    <xf numFmtId="164" fontId="0" fillId="0" borderId="10" xfId="0" applyNumberFormat="1" applyBorder="1" applyAlignment="1" applyProtection="1">
      <alignment/>
      <protection/>
    </xf>
    <xf numFmtId="164" fontId="7" fillId="0" borderId="0" xfId="0" applyNumberFormat="1" applyFont="1" applyAlignment="1" applyProtection="1">
      <alignment horizontal="left"/>
      <protection/>
    </xf>
    <xf numFmtId="164" fontId="7" fillId="0" borderId="0" xfId="0" applyNumberFormat="1" applyFont="1" applyAlignment="1" applyProtection="1">
      <alignment/>
      <protection/>
    </xf>
    <xf numFmtId="164" fontId="8" fillId="0" borderId="0" xfId="0" applyNumberFormat="1" applyFont="1" applyAlignment="1" applyProtection="1">
      <alignment/>
      <protection locked="0"/>
    </xf>
    <xf numFmtId="164" fontId="7" fillId="0" borderId="0" xfId="0" applyNumberFormat="1" applyFont="1" applyAlignment="1" applyProtection="1">
      <alignment horizontal="center"/>
      <protection/>
    </xf>
    <xf numFmtId="164" fontId="7" fillId="0" borderId="11" xfId="0" applyNumberFormat="1" applyFont="1" applyBorder="1" applyAlignment="1" applyProtection="1">
      <alignment/>
      <protection/>
    </xf>
    <xf numFmtId="164" fontId="7" fillId="0" borderId="12" xfId="0" applyNumberFormat="1" applyFont="1" applyBorder="1" applyAlignment="1" applyProtection="1">
      <alignment/>
      <protection/>
    </xf>
    <xf numFmtId="164" fontId="7" fillId="0" borderId="10" xfId="0" applyNumberFormat="1" applyFont="1" applyBorder="1" applyAlignment="1" applyProtection="1">
      <alignment/>
      <protection/>
    </xf>
    <xf numFmtId="164" fontId="7" fillId="0" borderId="10" xfId="0" applyNumberFormat="1" applyFont="1" applyBorder="1" applyAlignment="1" applyProtection="1">
      <alignment horizontal="center"/>
      <protection/>
    </xf>
    <xf numFmtId="164" fontId="7" fillId="0" borderId="12" xfId="0" applyNumberFormat="1" applyFont="1" applyBorder="1" applyAlignment="1" applyProtection="1">
      <alignment horizontal="center"/>
      <protection/>
    </xf>
    <xf numFmtId="164" fontId="7" fillId="0" borderId="11" xfId="0" applyNumberFormat="1" applyFont="1" applyBorder="1" applyAlignment="1" applyProtection="1">
      <alignment horizontal="center"/>
      <protection/>
    </xf>
    <xf numFmtId="165" fontId="7" fillId="0" borderId="0" xfId="0" applyNumberFormat="1" applyFont="1" applyAlignment="1" applyProtection="1">
      <alignment horizontal="center"/>
      <protection/>
    </xf>
    <xf numFmtId="164" fontId="7" fillId="0" borderId="0" xfId="0" applyFont="1" applyAlignment="1">
      <alignment/>
    </xf>
    <xf numFmtId="164" fontId="7" fillId="0" borderId="12" xfId="0" applyNumberFormat="1" applyFont="1" applyBorder="1" applyAlignment="1" applyProtection="1">
      <alignment horizontal="left"/>
      <protection/>
    </xf>
    <xf numFmtId="164" fontId="7" fillId="0" borderId="10" xfId="0" applyNumberFormat="1" applyFont="1" applyBorder="1" applyAlignment="1" applyProtection="1">
      <alignment horizontal="left"/>
      <protection/>
    </xf>
    <xf numFmtId="164" fontId="8" fillId="0" borderId="0" xfId="0" applyNumberFormat="1" applyFont="1" applyAlignment="1" applyProtection="1">
      <alignment horizontal="left"/>
      <protection locked="0"/>
    </xf>
    <xf numFmtId="164" fontId="8" fillId="0" borderId="0" xfId="0" applyNumberFormat="1" applyFont="1" applyAlignment="1" applyProtection="1">
      <alignment/>
      <protection/>
    </xf>
    <xf numFmtId="164" fontId="7" fillId="0" borderId="0" xfId="0" applyNumberFormat="1" applyFont="1" applyBorder="1" applyAlignment="1" applyProtection="1">
      <alignment horizontal="center"/>
      <protection/>
    </xf>
    <xf numFmtId="164" fontId="9" fillId="33" borderId="0" xfId="0" applyNumberFormat="1" applyFont="1" applyFill="1" applyAlignment="1" applyProtection="1">
      <alignment/>
      <protection/>
    </xf>
    <xf numFmtId="164" fontId="7" fillId="0" borderId="0" xfId="0" applyNumberFormat="1" applyFont="1" applyBorder="1" applyAlignment="1" applyProtection="1">
      <alignment horizontal="left"/>
      <protection/>
    </xf>
    <xf numFmtId="165" fontId="7" fillId="0" borderId="0" xfId="0" applyNumberFormat="1" applyFont="1" applyBorder="1" applyAlignment="1" applyProtection="1">
      <alignment horizontal="center"/>
      <protection/>
    </xf>
    <xf numFmtId="164" fontId="7" fillId="0" borderId="13" xfId="0" applyNumberFormat="1" applyFont="1" applyBorder="1" applyAlignment="1" applyProtection="1">
      <alignment/>
      <protection/>
    </xf>
    <xf numFmtId="164" fontId="7" fillId="0" borderId="14" xfId="0" applyNumberFormat="1" applyFont="1" applyBorder="1" applyAlignment="1" applyProtection="1">
      <alignment/>
      <protection/>
    </xf>
    <xf numFmtId="164" fontId="7" fillId="0" borderId="14" xfId="0" applyNumberFormat="1" applyFont="1" applyBorder="1" applyAlignment="1" applyProtection="1">
      <alignment horizontal="left"/>
      <protection/>
    </xf>
    <xf numFmtId="164" fontId="13" fillId="0" borderId="0" xfId="0" applyNumberFormat="1" applyFont="1" applyBorder="1" applyAlignment="1" applyProtection="1">
      <alignment horizontal="center"/>
      <protection/>
    </xf>
    <xf numFmtId="164" fontId="9" fillId="0" borderId="0" xfId="0" applyNumberFormat="1" applyFont="1" applyAlignment="1" applyProtection="1">
      <alignment horizontal="left"/>
      <protection/>
    </xf>
    <xf numFmtId="164" fontId="9" fillId="34" borderId="0" xfId="0" applyNumberFormat="1" applyFont="1" applyFill="1" applyBorder="1" applyAlignment="1" applyProtection="1">
      <alignment/>
      <protection/>
    </xf>
    <xf numFmtId="164" fontId="9" fillId="34" borderId="15" xfId="0" applyNumberFormat="1" applyFont="1" applyFill="1" applyBorder="1" applyAlignment="1" applyProtection="1">
      <alignment/>
      <protection/>
    </xf>
    <xf numFmtId="164" fontId="9" fillId="34" borderId="16" xfId="0" applyNumberFormat="1" applyFont="1" applyFill="1" applyBorder="1" applyAlignment="1" applyProtection="1">
      <alignment horizontal="left"/>
      <protection/>
    </xf>
    <xf numFmtId="164" fontId="9" fillId="34" borderId="17" xfId="0" applyNumberFormat="1" applyFont="1" applyFill="1" applyBorder="1" applyAlignment="1" applyProtection="1">
      <alignment/>
      <protection/>
    </xf>
    <xf numFmtId="164" fontId="9" fillId="34" borderId="18" xfId="0" applyNumberFormat="1" applyFont="1" applyFill="1" applyBorder="1" applyAlignment="1" applyProtection="1">
      <alignment/>
      <protection/>
    </xf>
    <xf numFmtId="164" fontId="9" fillId="34" borderId="19" xfId="0" applyNumberFormat="1" applyFont="1" applyFill="1" applyBorder="1" applyAlignment="1" applyProtection="1">
      <alignment/>
      <protection/>
    </xf>
    <xf numFmtId="164" fontId="9" fillId="34" borderId="20" xfId="0" applyNumberFormat="1" applyFont="1" applyFill="1" applyBorder="1" applyAlignment="1" applyProtection="1">
      <alignment/>
      <protection/>
    </xf>
    <xf numFmtId="164" fontId="11" fillId="0" borderId="0" xfId="0" applyNumberFormat="1" applyFont="1" applyAlignment="1" applyProtection="1">
      <alignment horizontal="center"/>
      <protection/>
    </xf>
    <xf numFmtId="171" fontId="9" fillId="33" borderId="11" xfId="44" applyNumberFormat="1" applyFont="1" applyFill="1" applyBorder="1" applyAlignment="1" applyProtection="1">
      <alignment horizontal="center"/>
      <protection/>
    </xf>
    <xf numFmtId="171" fontId="9" fillId="33" borderId="0" xfId="44" applyNumberFormat="1" applyFont="1" applyFill="1" applyAlignment="1" applyProtection="1">
      <alignment horizontal="center"/>
      <protection/>
    </xf>
    <xf numFmtId="164" fontId="11" fillId="0" borderId="0" xfId="0" applyNumberFormat="1" applyFont="1" applyAlignment="1" applyProtection="1">
      <alignment horizontal="left"/>
      <protection/>
    </xf>
    <xf numFmtId="164" fontId="9" fillId="0" borderId="0" xfId="0" applyNumberFormat="1" applyFont="1" applyAlignment="1" applyProtection="1">
      <alignment horizontal="center"/>
      <protection/>
    </xf>
    <xf numFmtId="164" fontId="9" fillId="35" borderId="0" xfId="0" applyNumberFormat="1" applyFont="1" applyFill="1" applyAlignment="1" applyProtection="1">
      <alignment horizontal="center"/>
      <protection/>
    </xf>
    <xf numFmtId="164" fontId="7" fillId="0" borderId="21" xfId="0" applyNumberFormat="1" applyFont="1" applyBorder="1" applyAlignment="1" applyProtection="1">
      <alignment horizontal="center"/>
      <protection/>
    </xf>
    <xf numFmtId="165" fontId="7" fillId="0" borderId="0" xfId="0" applyNumberFormat="1" applyFont="1" applyFill="1" applyAlignment="1" applyProtection="1">
      <alignment horizontal="center"/>
      <protection/>
    </xf>
    <xf numFmtId="7" fontId="7" fillId="0" borderId="0" xfId="0" applyNumberFormat="1" applyFont="1" applyFill="1" applyAlignment="1" applyProtection="1">
      <alignment horizontal="center"/>
      <protection/>
    </xf>
    <xf numFmtId="164" fontId="7" fillId="0" borderId="22" xfId="0" applyNumberFormat="1" applyFont="1" applyBorder="1" applyAlignment="1" applyProtection="1">
      <alignment/>
      <protection/>
    </xf>
    <xf numFmtId="164" fontId="9" fillId="0" borderId="0" xfId="0" applyNumberFormat="1" applyFont="1" applyAlignment="1" applyProtection="1">
      <alignment horizontal="right"/>
      <protection/>
    </xf>
    <xf numFmtId="164" fontId="21" fillId="0" borderId="0" xfId="0" applyNumberFormat="1" applyFont="1" applyAlignment="1" applyProtection="1">
      <alignment horizontal="left"/>
      <protection/>
    </xf>
    <xf numFmtId="164" fontId="0" fillId="0" borderId="0" xfId="0" applyAlignment="1" applyProtection="1">
      <alignment/>
      <protection/>
    </xf>
    <xf numFmtId="10" fontId="8" fillId="0" borderId="10" xfId="0" applyNumberFormat="1" applyFont="1" applyBorder="1" applyAlignment="1" applyProtection="1">
      <alignment/>
      <protection/>
    </xf>
    <xf numFmtId="164" fontId="7" fillId="0" borderId="0" xfId="0" applyFont="1" applyAlignment="1" applyProtection="1">
      <alignment/>
      <protection/>
    </xf>
    <xf numFmtId="164" fontId="14" fillId="0" borderId="0" xfId="0" applyFont="1" applyAlignment="1" applyProtection="1">
      <alignment/>
      <protection/>
    </xf>
    <xf numFmtId="164" fontId="0" fillId="34" borderId="23" xfId="0" applyFill="1" applyBorder="1" applyAlignment="1" applyProtection="1">
      <alignment/>
      <protection/>
    </xf>
    <xf numFmtId="164" fontId="10" fillId="34" borderId="23" xfId="0" applyFont="1" applyFill="1" applyBorder="1" applyAlignment="1" applyProtection="1">
      <alignment/>
      <protection/>
    </xf>
    <xf numFmtId="164" fontId="9" fillId="0" borderId="0" xfId="0" applyFont="1" applyAlignment="1" applyProtection="1">
      <alignment/>
      <protection/>
    </xf>
    <xf numFmtId="165" fontId="7" fillId="0" borderId="10" xfId="0" applyNumberFormat="1" applyFont="1" applyBorder="1" applyAlignment="1" applyProtection="1">
      <alignment horizontal="center"/>
      <protection/>
    </xf>
    <xf numFmtId="165" fontId="7" fillId="0" borderId="13" xfId="0" applyNumberFormat="1" applyFont="1" applyBorder="1" applyAlignment="1" applyProtection="1">
      <alignment horizontal="center"/>
      <protection/>
    </xf>
    <xf numFmtId="164" fontId="7" fillId="0" borderId="0" xfId="0" applyFont="1" applyAlignment="1" applyProtection="1">
      <alignment horizontal="center"/>
      <protection/>
    </xf>
    <xf numFmtId="7" fontId="7" fillId="0" borderId="10" xfId="0" applyNumberFormat="1" applyFont="1" applyBorder="1" applyAlignment="1" applyProtection="1">
      <alignment horizontal="center"/>
      <protection/>
    </xf>
    <xf numFmtId="7" fontId="7" fillId="0" borderId="0" xfId="0" applyNumberFormat="1" applyFont="1" applyAlignment="1" applyProtection="1">
      <alignment horizontal="center"/>
      <protection/>
    </xf>
    <xf numFmtId="7" fontId="7" fillId="0" borderId="24" xfId="0" applyNumberFormat="1" applyFont="1" applyBorder="1" applyAlignment="1" applyProtection="1">
      <alignment horizontal="center"/>
      <protection/>
    </xf>
    <xf numFmtId="164" fontId="9" fillId="36" borderId="0" xfId="0" applyFont="1" applyFill="1" applyBorder="1" applyAlignment="1" applyProtection="1">
      <alignment horizontal="center"/>
      <protection/>
    </xf>
    <xf numFmtId="164" fontId="7" fillId="33" borderId="15" xfId="0" applyFont="1" applyFill="1" applyBorder="1" applyAlignment="1" applyProtection="1">
      <alignment horizontal="center"/>
      <protection/>
    </xf>
    <xf numFmtId="164" fontId="7" fillId="33" borderId="23" xfId="0" applyFont="1" applyFill="1" applyBorder="1" applyAlignment="1" applyProtection="1">
      <alignment horizontal="center"/>
      <protection/>
    </xf>
    <xf numFmtId="164" fontId="7" fillId="33" borderId="25" xfId="0" applyFont="1" applyFill="1" applyBorder="1" applyAlignment="1" applyProtection="1">
      <alignment horizontal="center"/>
      <protection/>
    </xf>
    <xf numFmtId="164" fontId="9" fillId="36" borderId="26" xfId="0" applyFont="1" applyFill="1" applyBorder="1" applyAlignment="1" applyProtection="1">
      <alignment horizontal="center"/>
      <protection/>
    </xf>
    <xf numFmtId="164" fontId="7" fillId="0" borderId="0" xfId="0" applyFont="1" applyAlignment="1" applyProtection="1">
      <alignment horizontal="left"/>
      <protection/>
    </xf>
    <xf numFmtId="173" fontId="7" fillId="0" borderId="0" xfId="0" applyNumberFormat="1" applyFont="1" applyAlignment="1" applyProtection="1">
      <alignment horizontal="center"/>
      <protection/>
    </xf>
    <xf numFmtId="173" fontId="9" fillId="37" borderId="0" xfId="44" applyNumberFormat="1" applyFont="1" applyFill="1" applyAlignment="1" applyProtection="1">
      <alignment/>
      <protection/>
    </xf>
    <xf numFmtId="164" fontId="7" fillId="0" borderId="0" xfId="0" applyFont="1" applyAlignment="1" applyProtection="1">
      <alignment horizontal="right"/>
      <protection/>
    </xf>
    <xf numFmtId="164" fontId="7" fillId="0" borderId="0" xfId="0" applyFont="1" applyAlignment="1" applyProtection="1" quotePrefix="1">
      <alignment/>
      <protection/>
    </xf>
    <xf numFmtId="164" fontId="7" fillId="0" borderId="0" xfId="0" applyFont="1" applyAlignment="1" applyProtection="1" quotePrefix="1">
      <alignment horizontal="center"/>
      <protection/>
    </xf>
    <xf numFmtId="174" fontId="7" fillId="0" borderId="0" xfId="0" applyNumberFormat="1" applyFont="1" applyAlignment="1" applyProtection="1">
      <alignment horizontal="center"/>
      <protection/>
    </xf>
    <xf numFmtId="173" fontId="9" fillId="37" borderId="0" xfId="0" applyNumberFormat="1" applyFont="1" applyFill="1" applyAlignment="1" applyProtection="1">
      <alignment/>
      <protection/>
    </xf>
    <xf numFmtId="164" fontId="7" fillId="0" borderId="0" xfId="0" applyFont="1" applyAlignment="1" applyProtection="1">
      <alignment horizontal="centerContinuous"/>
      <protection/>
    </xf>
    <xf numFmtId="164" fontId="9" fillId="0" borderId="14" xfId="0" applyFont="1" applyBorder="1" applyAlignment="1" applyProtection="1" quotePrefix="1">
      <alignment horizontal="center"/>
      <protection/>
    </xf>
    <xf numFmtId="164" fontId="7" fillId="0" borderId="27" xfId="0" applyFont="1" applyBorder="1" applyAlignment="1" applyProtection="1">
      <alignment horizontal="center"/>
      <protection/>
    </xf>
    <xf numFmtId="2" fontId="7" fillId="0" borderId="28" xfId="0" applyNumberFormat="1" applyFont="1" applyBorder="1" applyAlignment="1" applyProtection="1">
      <alignment horizontal="center"/>
      <protection/>
    </xf>
    <xf numFmtId="2" fontId="7" fillId="0" borderId="0" xfId="0" applyNumberFormat="1" applyFont="1" applyAlignment="1" applyProtection="1">
      <alignment horizontal="center"/>
      <protection/>
    </xf>
    <xf numFmtId="173" fontId="7" fillId="0" borderId="29" xfId="0" applyNumberFormat="1" applyFont="1" applyBorder="1" applyAlignment="1" applyProtection="1">
      <alignment horizontal="center"/>
      <protection/>
    </xf>
    <xf numFmtId="2" fontId="7" fillId="0" borderId="29" xfId="0" applyNumberFormat="1" applyFont="1" applyBorder="1" applyAlignment="1" applyProtection="1">
      <alignment horizontal="center"/>
      <protection/>
    </xf>
    <xf numFmtId="164" fontId="9" fillId="37" borderId="23" xfId="0" applyFont="1" applyFill="1" applyBorder="1" applyAlignment="1" applyProtection="1">
      <alignment/>
      <protection/>
    </xf>
    <xf numFmtId="2" fontId="7" fillId="37" borderId="15" xfId="0" applyNumberFormat="1" applyFont="1" applyFill="1" applyBorder="1" applyAlignment="1" applyProtection="1">
      <alignment horizontal="center"/>
      <protection/>
    </xf>
    <xf numFmtId="2" fontId="7" fillId="37" borderId="23" xfId="0" applyNumberFormat="1" applyFont="1" applyFill="1" applyBorder="1" applyAlignment="1" applyProtection="1">
      <alignment horizontal="center"/>
      <protection/>
    </xf>
    <xf numFmtId="173" fontId="7" fillId="37" borderId="15" xfId="0" applyNumberFormat="1" applyFont="1" applyFill="1" applyBorder="1" applyAlignment="1" applyProtection="1">
      <alignment horizontal="center"/>
      <protection/>
    </xf>
    <xf numFmtId="164" fontId="7" fillId="0" borderId="24" xfId="0" applyFont="1" applyBorder="1" applyAlignment="1" applyProtection="1">
      <alignment/>
      <protection/>
    </xf>
    <xf numFmtId="2" fontId="7" fillId="0" borderId="27" xfId="0" applyNumberFormat="1" applyFont="1" applyBorder="1" applyAlignment="1" applyProtection="1">
      <alignment horizontal="center"/>
      <protection/>
    </xf>
    <xf numFmtId="2" fontId="7" fillId="0" borderId="26" xfId="0" applyNumberFormat="1" applyFont="1" applyBorder="1" applyAlignment="1" applyProtection="1">
      <alignment horizontal="center"/>
      <protection/>
    </xf>
    <xf numFmtId="173" fontId="7" fillId="0" borderId="27" xfId="0" applyNumberFormat="1" applyFont="1" applyBorder="1" applyAlignment="1" applyProtection="1">
      <alignment horizontal="center"/>
      <protection/>
    </xf>
    <xf numFmtId="164" fontId="7" fillId="0" borderId="29" xfId="0" applyFont="1" applyBorder="1" applyAlignment="1" applyProtection="1">
      <alignment/>
      <protection/>
    </xf>
    <xf numFmtId="164" fontId="0" fillId="0" borderId="29" xfId="0" applyBorder="1" applyAlignment="1" applyProtection="1">
      <alignment/>
      <protection/>
    </xf>
    <xf numFmtId="175" fontId="7" fillId="0" borderId="28" xfId="0" applyNumberFormat="1" applyFont="1" applyBorder="1" applyAlignment="1" applyProtection="1">
      <alignment horizontal="center"/>
      <protection/>
    </xf>
    <xf numFmtId="175" fontId="7" fillId="0" borderId="30" xfId="0" applyNumberFormat="1" applyFont="1" applyBorder="1" applyAlignment="1" applyProtection="1">
      <alignment horizontal="center"/>
      <protection/>
    </xf>
    <xf numFmtId="175" fontId="7" fillId="0" borderId="21" xfId="0" applyNumberFormat="1" applyFont="1" applyBorder="1" applyAlignment="1" applyProtection="1">
      <alignment horizontal="center"/>
      <protection/>
    </xf>
    <xf numFmtId="173" fontId="7" fillId="34" borderId="0" xfId="0" applyNumberFormat="1" applyFont="1" applyFill="1" applyBorder="1" applyAlignment="1" applyProtection="1">
      <alignment horizontal="center"/>
      <protection/>
    </xf>
    <xf numFmtId="175" fontId="7" fillId="0" borderId="29" xfId="0" applyNumberFormat="1" applyFont="1" applyBorder="1" applyAlignment="1" applyProtection="1">
      <alignment horizontal="center"/>
      <protection/>
    </xf>
    <xf numFmtId="175" fontId="7" fillId="0" borderId="0" xfId="0" applyNumberFormat="1" applyFont="1" applyBorder="1" applyAlignment="1" applyProtection="1">
      <alignment horizontal="center"/>
      <protection/>
    </xf>
    <xf numFmtId="175" fontId="7" fillId="0" borderId="13" xfId="0" applyNumberFormat="1" applyFont="1" applyBorder="1" applyAlignment="1" applyProtection="1">
      <alignment horizontal="center"/>
      <protection/>
    </xf>
    <xf numFmtId="175" fontId="9" fillId="37" borderId="15" xfId="0" applyNumberFormat="1" applyFont="1" applyFill="1" applyBorder="1" applyAlignment="1" applyProtection="1">
      <alignment horizontal="center"/>
      <protection/>
    </xf>
    <xf numFmtId="175" fontId="9" fillId="37" borderId="23" xfId="0" applyNumberFormat="1" applyFont="1" applyFill="1" applyBorder="1" applyAlignment="1" applyProtection="1">
      <alignment horizontal="center"/>
      <protection/>
    </xf>
    <xf numFmtId="175" fontId="9" fillId="37" borderId="23" xfId="0" applyNumberFormat="1" applyFont="1" applyFill="1" applyBorder="1" applyAlignment="1" applyProtection="1" quotePrefix="1">
      <alignment horizontal="center"/>
      <protection/>
    </xf>
    <xf numFmtId="175" fontId="9" fillId="37" borderId="25" xfId="0" applyNumberFormat="1" applyFont="1" applyFill="1" applyBorder="1" applyAlignment="1" applyProtection="1">
      <alignment horizontal="center"/>
      <protection/>
    </xf>
    <xf numFmtId="173" fontId="9" fillId="37" borderId="23" xfId="0" applyNumberFormat="1" applyFont="1" applyFill="1" applyBorder="1" applyAlignment="1" applyProtection="1">
      <alignment horizontal="center"/>
      <protection/>
    </xf>
    <xf numFmtId="164" fontId="7" fillId="0" borderId="26" xfId="0" applyFont="1" applyBorder="1" applyAlignment="1" applyProtection="1">
      <alignment/>
      <protection/>
    </xf>
    <xf numFmtId="175" fontId="7" fillId="0" borderId="27" xfId="0" applyNumberFormat="1" applyFont="1" applyBorder="1" applyAlignment="1" applyProtection="1">
      <alignment horizontal="center"/>
      <protection/>
    </xf>
    <xf numFmtId="175" fontId="7" fillId="0" borderId="26" xfId="0" applyNumberFormat="1" applyFont="1" applyBorder="1" applyAlignment="1" applyProtection="1">
      <alignment horizontal="center"/>
      <protection/>
    </xf>
    <xf numFmtId="175" fontId="7" fillId="0" borderId="24" xfId="0" applyNumberFormat="1" applyFont="1" applyBorder="1" applyAlignment="1" applyProtection="1">
      <alignment horizontal="center"/>
      <protection/>
    </xf>
    <xf numFmtId="173" fontId="7" fillId="34" borderId="27" xfId="0" applyNumberFormat="1" applyFont="1" applyFill="1" applyBorder="1" applyAlignment="1" applyProtection="1">
      <alignment horizontal="center"/>
      <protection/>
    </xf>
    <xf numFmtId="173" fontId="9" fillId="37" borderId="0" xfId="0" applyNumberFormat="1" applyFont="1" applyFill="1" applyAlignment="1" applyProtection="1">
      <alignment horizontal="center"/>
      <protection/>
    </xf>
    <xf numFmtId="173" fontId="7" fillId="34" borderId="0" xfId="0" applyNumberFormat="1" applyFont="1" applyFill="1" applyBorder="1" applyAlignment="1" applyProtection="1" quotePrefix="1">
      <alignment horizontal="center"/>
      <protection/>
    </xf>
    <xf numFmtId="164" fontId="0" fillId="0" borderId="0" xfId="0" applyAlignment="1" applyProtection="1">
      <alignment horizontal="center"/>
      <protection/>
    </xf>
    <xf numFmtId="164" fontId="0" fillId="0" borderId="26" xfId="0" applyBorder="1" applyAlignment="1" applyProtection="1">
      <alignment horizontal="center"/>
      <protection/>
    </xf>
    <xf numFmtId="164" fontId="0" fillId="0" borderId="0" xfId="0" applyNumberFormat="1" applyAlignment="1" applyProtection="1">
      <alignment/>
      <protection locked="0"/>
    </xf>
    <xf numFmtId="164" fontId="23" fillId="0" borderId="31" xfId="0" applyNumberFormat="1" applyFont="1" applyBorder="1" applyAlignment="1" applyProtection="1">
      <alignment horizontal="center"/>
      <protection locked="0"/>
    </xf>
    <xf numFmtId="164" fontId="9" fillId="0" borderId="0" xfId="0" applyNumberFormat="1" applyFont="1" applyFill="1" applyBorder="1" applyAlignment="1" applyProtection="1">
      <alignment horizontal="center"/>
      <protection/>
    </xf>
    <xf numFmtId="164" fontId="7" fillId="0" borderId="23" xfId="0" applyNumberFormat="1" applyFont="1" applyBorder="1" applyAlignment="1" applyProtection="1">
      <alignment horizontal="center"/>
      <protection/>
    </xf>
    <xf numFmtId="164" fontId="7" fillId="0" borderId="25" xfId="0" applyNumberFormat="1" applyFont="1" applyBorder="1" applyAlignment="1" applyProtection="1">
      <alignment horizontal="center"/>
      <protection/>
    </xf>
    <xf numFmtId="10" fontId="13" fillId="0" borderId="27" xfId="59" applyNumberFormat="1" applyFont="1" applyBorder="1" applyAlignment="1" applyProtection="1">
      <alignment horizontal="center"/>
      <protection locked="0"/>
    </xf>
    <xf numFmtId="164" fontId="0" fillId="0" borderId="0" xfId="0" applyBorder="1" applyAlignment="1">
      <alignment/>
    </xf>
    <xf numFmtId="165" fontId="13" fillId="0" borderId="32" xfId="0" applyNumberFormat="1" applyFont="1" applyBorder="1" applyAlignment="1" applyProtection="1">
      <alignment horizontal="center"/>
      <protection locked="0"/>
    </xf>
    <xf numFmtId="165" fontId="13" fillId="0" borderId="33" xfId="0" applyNumberFormat="1" applyFont="1" applyBorder="1" applyAlignment="1" applyProtection="1">
      <alignment horizontal="center"/>
      <protection locked="0"/>
    </xf>
    <xf numFmtId="165" fontId="13" fillId="0" borderId="34" xfId="0" applyNumberFormat="1" applyFont="1" applyBorder="1" applyAlignment="1" applyProtection="1">
      <alignment horizontal="center"/>
      <protection locked="0"/>
    </xf>
    <xf numFmtId="165" fontId="13" fillId="0" borderId="34" xfId="0" applyNumberFormat="1" applyFont="1" applyFill="1" applyBorder="1" applyAlignment="1" applyProtection="1">
      <alignment horizontal="center"/>
      <protection locked="0"/>
    </xf>
    <xf numFmtId="165" fontId="13" fillId="0" borderId="10" xfId="0" applyNumberFormat="1" applyFont="1" applyBorder="1" applyAlignment="1" applyProtection="1">
      <alignment horizontal="center"/>
      <protection locked="0"/>
    </xf>
    <xf numFmtId="7" fontId="13" fillId="0" borderId="34" xfId="0" applyNumberFormat="1" applyFont="1" applyBorder="1" applyAlignment="1" applyProtection="1">
      <alignment horizontal="center"/>
      <protection locked="0"/>
    </xf>
    <xf numFmtId="7" fontId="13" fillId="0" borderId="34" xfId="0" applyNumberFormat="1" applyFont="1" applyFill="1" applyBorder="1" applyAlignment="1" applyProtection="1">
      <alignment horizontal="center"/>
      <protection locked="0"/>
    </xf>
    <xf numFmtId="7" fontId="13" fillId="0" borderId="10" xfId="0" applyNumberFormat="1" applyFont="1" applyBorder="1" applyAlignment="1" applyProtection="1">
      <alignment horizontal="center"/>
      <protection locked="0"/>
    </xf>
    <xf numFmtId="7" fontId="13" fillId="0" borderId="35" xfId="0" applyNumberFormat="1" applyFont="1" applyBorder="1" applyAlignment="1" applyProtection="1">
      <alignment horizontal="center"/>
      <protection locked="0"/>
    </xf>
    <xf numFmtId="7" fontId="13" fillId="0" borderId="36" xfId="0" applyNumberFormat="1" applyFont="1" applyBorder="1" applyAlignment="1" applyProtection="1">
      <alignment horizontal="center"/>
      <protection locked="0"/>
    </xf>
    <xf numFmtId="7" fontId="13" fillId="0" borderId="36" xfId="0" applyNumberFormat="1" applyFont="1" applyFill="1" applyBorder="1" applyAlignment="1" applyProtection="1">
      <alignment horizontal="center"/>
      <protection locked="0"/>
    </xf>
    <xf numFmtId="7" fontId="13" fillId="0" borderId="37" xfId="0" applyNumberFormat="1" applyFont="1" applyBorder="1" applyAlignment="1" applyProtection="1">
      <alignment horizontal="center"/>
      <protection locked="0"/>
    </xf>
    <xf numFmtId="164" fontId="13" fillId="0" borderId="10" xfId="0" applyNumberFormat="1" applyFont="1" applyBorder="1" applyAlignment="1" applyProtection="1">
      <alignment/>
      <protection locked="0"/>
    </xf>
    <xf numFmtId="10" fontId="13" fillId="0" borderId="10" xfId="0" applyNumberFormat="1" applyFont="1" applyBorder="1" applyAlignment="1" applyProtection="1">
      <alignment/>
      <protection locked="0"/>
    </xf>
    <xf numFmtId="164" fontId="9" fillId="0" borderId="11" xfId="0" applyNumberFormat="1" applyFont="1" applyBorder="1" applyAlignment="1" applyProtection="1">
      <alignment horizontal="left"/>
      <protection/>
    </xf>
    <xf numFmtId="164" fontId="11" fillId="0" borderId="11" xfId="0" applyNumberFormat="1" applyFont="1" applyBorder="1" applyAlignment="1" applyProtection="1">
      <alignment horizontal="left"/>
      <protection/>
    </xf>
    <xf numFmtId="164" fontId="9" fillId="0" borderId="11" xfId="0" applyNumberFormat="1" applyFont="1" applyBorder="1" applyAlignment="1" applyProtection="1">
      <alignment horizontal="right"/>
      <protection/>
    </xf>
    <xf numFmtId="164" fontId="9" fillId="0" borderId="11" xfId="0" applyNumberFormat="1" applyFont="1" applyBorder="1" applyAlignment="1" applyProtection="1">
      <alignment/>
      <protection/>
    </xf>
    <xf numFmtId="164" fontId="7" fillId="0" borderId="26" xfId="0" applyNumberFormat="1" applyFont="1" applyBorder="1" applyAlignment="1" applyProtection="1">
      <alignment horizontal="left"/>
      <protection/>
    </xf>
    <xf numFmtId="164" fontId="13" fillId="0" borderId="10" xfId="0" applyNumberFormat="1" applyFont="1" applyBorder="1" applyAlignment="1" applyProtection="1">
      <alignment horizontal="center"/>
      <protection locked="0"/>
    </xf>
    <xf numFmtId="172" fontId="13" fillId="0" borderId="10" xfId="0" applyNumberFormat="1" applyFont="1" applyBorder="1" applyAlignment="1" applyProtection="1">
      <alignment/>
      <protection locked="0"/>
    </xf>
    <xf numFmtId="5" fontId="9" fillId="34" borderId="17" xfId="0" applyNumberFormat="1" applyFont="1" applyFill="1" applyBorder="1" applyAlignment="1" applyProtection="1">
      <alignment/>
      <protection/>
    </xf>
    <xf numFmtId="5" fontId="9" fillId="34" borderId="38" xfId="0" applyNumberFormat="1" applyFont="1" applyFill="1" applyBorder="1" applyAlignment="1" applyProtection="1">
      <alignment/>
      <protection/>
    </xf>
    <xf numFmtId="5" fontId="9" fillId="34" borderId="23" xfId="0" applyNumberFormat="1" applyFont="1" applyFill="1" applyBorder="1" applyAlignment="1" applyProtection="1">
      <alignment/>
      <protection/>
    </xf>
    <xf numFmtId="5" fontId="9" fillId="34" borderId="39" xfId="44" applyNumberFormat="1" applyFont="1" applyFill="1" applyBorder="1" applyAlignment="1" applyProtection="1">
      <alignment/>
      <protection/>
    </xf>
    <xf numFmtId="171" fontId="9" fillId="37" borderId="0" xfId="0" applyNumberFormat="1" applyFont="1" applyFill="1" applyAlignment="1" applyProtection="1">
      <alignment/>
      <protection/>
    </xf>
    <xf numFmtId="171" fontId="9" fillId="38" borderId="0" xfId="0" applyNumberFormat="1" applyFont="1" applyFill="1" applyAlignment="1" applyProtection="1">
      <alignment/>
      <protection/>
    </xf>
    <xf numFmtId="171" fontId="9" fillId="37" borderId="0" xfId="0" applyNumberFormat="1" applyFont="1" applyFill="1" applyAlignment="1" applyProtection="1">
      <alignment/>
      <protection/>
    </xf>
    <xf numFmtId="171" fontId="9" fillId="37" borderId="0" xfId="0" applyNumberFormat="1" applyFont="1" applyFill="1" applyAlignment="1" applyProtection="1">
      <alignment horizontal="center"/>
      <protection/>
    </xf>
    <xf numFmtId="10" fontId="13" fillId="0" borderId="40" xfId="0" applyNumberFormat="1" applyFont="1" applyBorder="1" applyAlignment="1" applyProtection="1">
      <alignment/>
      <protection locked="0"/>
    </xf>
    <xf numFmtId="9" fontId="25" fillId="0" borderId="0" xfId="0" applyNumberFormat="1" applyFont="1" applyAlignment="1" applyProtection="1">
      <alignment/>
      <protection/>
    </xf>
    <xf numFmtId="181" fontId="7" fillId="0" borderId="10" xfId="42" applyNumberFormat="1" applyFont="1" applyBorder="1" applyAlignment="1" applyProtection="1">
      <alignment/>
      <protection/>
    </xf>
    <xf numFmtId="43" fontId="7" fillId="0" borderId="10" xfId="42" applyNumberFormat="1" applyFont="1" applyBorder="1" applyAlignment="1" applyProtection="1">
      <alignment/>
      <protection/>
    </xf>
    <xf numFmtId="164" fontId="13" fillId="39" borderId="10" xfId="0" applyNumberFormat="1" applyFont="1" applyFill="1" applyBorder="1" applyAlignment="1" applyProtection="1">
      <alignment horizontal="center"/>
      <protection locked="0"/>
    </xf>
    <xf numFmtId="164" fontId="13" fillId="39" borderId="10" xfId="0" applyNumberFormat="1" applyFont="1" applyFill="1" applyBorder="1" applyAlignment="1" applyProtection="1">
      <alignment/>
      <protection locked="0"/>
    </xf>
    <xf numFmtId="172" fontId="13" fillId="39" borderId="10" xfId="0" applyNumberFormat="1" applyFont="1" applyFill="1" applyBorder="1" applyAlignment="1" applyProtection="1">
      <alignment/>
      <protection locked="0"/>
    </xf>
    <xf numFmtId="181" fontId="7" fillId="39" borderId="10" xfId="42" applyNumberFormat="1" applyFont="1" applyFill="1" applyBorder="1" applyAlignment="1" applyProtection="1">
      <alignment/>
      <protection/>
    </xf>
    <xf numFmtId="164" fontId="7" fillId="40" borderId="12" xfId="0" applyNumberFormat="1" applyFont="1" applyFill="1" applyBorder="1" applyAlignment="1" applyProtection="1">
      <alignment/>
      <protection/>
    </xf>
    <xf numFmtId="181" fontId="7" fillId="0" borderId="0" xfId="42" applyNumberFormat="1" applyFont="1" applyBorder="1" applyAlignment="1" applyProtection="1">
      <alignment/>
      <protection/>
    </xf>
    <xf numFmtId="164" fontId="7" fillId="40" borderId="0" xfId="0" applyNumberFormat="1" applyFont="1" applyFill="1" applyBorder="1" applyAlignment="1" applyProtection="1">
      <alignment/>
      <protection/>
    </xf>
    <xf numFmtId="172" fontId="13" fillId="0" borderId="22" xfId="0" applyNumberFormat="1" applyFont="1" applyBorder="1" applyAlignment="1" applyProtection="1">
      <alignment/>
      <protection locked="0"/>
    </xf>
    <xf numFmtId="164" fontId="7" fillId="40" borderId="26" xfId="0" applyNumberFormat="1" applyFont="1" applyFill="1" applyBorder="1" applyAlignment="1" applyProtection="1">
      <alignment/>
      <protection/>
    </xf>
    <xf numFmtId="164" fontId="7" fillId="40" borderId="14" xfId="0" applyNumberFormat="1" applyFont="1" applyFill="1" applyBorder="1" applyAlignment="1" applyProtection="1">
      <alignment/>
      <protection/>
    </xf>
    <xf numFmtId="164" fontId="0" fillId="0" borderId="0" xfId="0" applyNumberFormat="1" applyBorder="1" applyAlignment="1" applyProtection="1">
      <alignment/>
      <protection/>
    </xf>
    <xf numFmtId="181" fontId="7" fillId="0" borderId="41" xfId="42" applyNumberFormat="1" applyFont="1" applyBorder="1" applyAlignment="1" applyProtection="1">
      <alignment/>
      <protection/>
    </xf>
    <xf numFmtId="181" fontId="7" fillId="0" borderId="22" xfId="42" applyNumberFormat="1" applyFont="1" applyBorder="1" applyAlignment="1" applyProtection="1">
      <alignment/>
      <protection/>
    </xf>
    <xf numFmtId="164" fontId="11" fillId="0" borderId="0" xfId="0" applyNumberFormat="1" applyFont="1" applyAlignment="1" applyProtection="1">
      <alignment/>
      <protection/>
    </xf>
    <xf numFmtId="5" fontId="11" fillId="0" borderId="0" xfId="0" applyNumberFormat="1" applyFont="1" applyAlignment="1" applyProtection="1">
      <alignment/>
      <protection/>
    </xf>
    <xf numFmtId="7" fontId="11" fillId="0" borderId="0" xfId="0" applyNumberFormat="1" applyFont="1" applyAlignment="1" applyProtection="1">
      <alignment/>
      <protection/>
    </xf>
    <xf numFmtId="8" fontId="11" fillId="0" borderId="0" xfId="0" applyNumberFormat="1" applyFont="1" applyAlignment="1" applyProtection="1">
      <alignment/>
      <protection/>
    </xf>
    <xf numFmtId="6" fontId="11" fillId="0" borderId="0" xfId="0" applyNumberFormat="1" applyFont="1" applyAlignment="1" applyProtection="1">
      <alignment/>
      <protection/>
    </xf>
    <xf numFmtId="164" fontId="11" fillId="0" borderId="0" xfId="0" applyNumberFormat="1" applyFont="1" applyAlignment="1" applyProtection="1">
      <alignment horizontal="right"/>
      <protection/>
    </xf>
    <xf numFmtId="164" fontId="21" fillId="0" borderId="0" xfId="0" applyNumberFormat="1" applyFont="1" applyAlignment="1" applyProtection="1">
      <alignment/>
      <protection/>
    </xf>
    <xf numFmtId="172" fontId="11" fillId="0" borderId="0" xfId="0" applyNumberFormat="1" applyFont="1" applyAlignment="1" applyProtection="1">
      <alignment/>
      <protection/>
    </xf>
    <xf numFmtId="164" fontId="28" fillId="0" borderId="0" xfId="0" applyFont="1" applyAlignment="1" applyProtection="1">
      <alignment/>
      <protection/>
    </xf>
    <xf numFmtId="164" fontId="21" fillId="0" borderId="0" xfId="0" applyFont="1" applyBorder="1" applyAlignment="1">
      <alignment/>
    </xf>
    <xf numFmtId="164" fontId="21" fillId="0" borderId="0" xfId="0" applyFont="1" applyAlignment="1" applyProtection="1">
      <alignment/>
      <protection/>
    </xf>
    <xf numFmtId="164" fontId="11" fillId="0" borderId="42" xfId="0" applyFont="1" applyBorder="1" applyAlignment="1" applyProtection="1">
      <alignment horizontal="center"/>
      <protection/>
    </xf>
    <xf numFmtId="164" fontId="21" fillId="0" borderId="0" xfId="0" applyFont="1" applyAlignment="1" applyProtection="1">
      <alignment horizontal="center"/>
      <protection/>
    </xf>
    <xf numFmtId="164" fontId="11" fillId="0" borderId="0" xfId="0" applyFont="1" applyAlignment="1" applyProtection="1">
      <alignment/>
      <protection/>
    </xf>
    <xf numFmtId="164" fontId="11" fillId="0" borderId="0" xfId="0" applyFont="1" applyAlignment="1" applyProtection="1">
      <alignment horizontal="right"/>
      <protection/>
    </xf>
    <xf numFmtId="3" fontId="11" fillId="0" borderId="0" xfId="0" applyNumberFormat="1" applyFont="1" applyAlignment="1" applyProtection="1">
      <alignment horizontal="center"/>
      <protection/>
    </xf>
    <xf numFmtId="164" fontId="11" fillId="0" borderId="0" xfId="0" applyFont="1" applyAlignment="1" applyProtection="1">
      <alignment horizontal="left"/>
      <protection/>
    </xf>
    <xf numFmtId="164" fontId="11" fillId="0" borderId="0" xfId="0" applyFont="1" applyAlignment="1" applyProtection="1">
      <alignment horizontal="center"/>
      <protection/>
    </xf>
    <xf numFmtId="164" fontId="11" fillId="0" borderId="0" xfId="0" applyFont="1" applyAlignment="1">
      <alignment/>
    </xf>
    <xf numFmtId="164" fontId="21" fillId="0" borderId="11" xfId="0" applyNumberFormat="1" applyFont="1" applyBorder="1" applyAlignment="1" applyProtection="1">
      <alignment horizontal="left"/>
      <protection/>
    </xf>
    <xf numFmtId="164" fontId="21" fillId="0" borderId="11" xfId="0" applyNumberFormat="1" applyFont="1" applyBorder="1" applyAlignment="1" applyProtection="1">
      <alignment/>
      <protection/>
    </xf>
    <xf numFmtId="164" fontId="21" fillId="0" borderId="12" xfId="0" applyNumberFormat="1" applyFont="1" applyBorder="1" applyAlignment="1" applyProtection="1">
      <alignment/>
      <protection/>
    </xf>
    <xf numFmtId="164" fontId="27" fillId="0" borderId="0" xfId="0" applyNumberFormat="1" applyFont="1" applyAlignment="1" applyProtection="1">
      <alignment horizontal="left"/>
      <protection/>
    </xf>
    <xf numFmtId="164" fontId="9" fillId="0" borderId="12" xfId="0" applyNumberFormat="1" applyFont="1" applyBorder="1" applyAlignment="1" applyProtection="1">
      <alignment/>
      <protection/>
    </xf>
    <xf numFmtId="164" fontId="9" fillId="0" borderId="10" xfId="0" applyNumberFormat="1" applyFont="1" applyBorder="1" applyAlignment="1" applyProtection="1">
      <alignment/>
      <protection/>
    </xf>
    <xf numFmtId="164" fontId="9" fillId="0" borderId="10" xfId="0" applyNumberFormat="1" applyFont="1" applyBorder="1" applyAlignment="1" applyProtection="1">
      <alignment horizontal="center"/>
      <protection/>
    </xf>
    <xf numFmtId="164" fontId="9" fillId="0" borderId="43" xfId="0" applyNumberFormat="1" applyFont="1" applyBorder="1" applyAlignment="1" applyProtection="1">
      <alignment horizontal="center"/>
      <protection/>
    </xf>
    <xf numFmtId="164" fontId="9" fillId="0" borderId="0" xfId="0" applyNumberFormat="1" applyFont="1" applyBorder="1" applyAlignment="1" applyProtection="1">
      <alignment horizontal="right"/>
      <protection/>
    </xf>
    <xf numFmtId="173" fontId="9" fillId="0" borderId="0" xfId="42" applyNumberFormat="1" applyFont="1" applyBorder="1" applyAlignment="1" applyProtection="1">
      <alignment/>
      <protection/>
    </xf>
    <xf numFmtId="173" fontId="9" fillId="0" borderId="0" xfId="0" applyNumberFormat="1" applyFont="1" applyAlignment="1" applyProtection="1">
      <alignment horizontal="right"/>
      <protection/>
    </xf>
    <xf numFmtId="173" fontId="9" fillId="0" borderId="26" xfId="42" applyNumberFormat="1" applyFont="1" applyBorder="1" applyAlignment="1" applyProtection="1">
      <alignment/>
      <protection/>
    </xf>
    <xf numFmtId="173" fontId="9" fillId="0" borderId="31" xfId="0" applyNumberFormat="1" applyFont="1" applyBorder="1" applyAlignment="1" applyProtection="1">
      <alignment/>
      <protection/>
    </xf>
    <xf numFmtId="164" fontId="10" fillId="0" borderId="0" xfId="0" applyFont="1" applyAlignment="1" applyProtection="1">
      <alignment horizontal="center"/>
      <protection/>
    </xf>
    <xf numFmtId="175" fontId="0" fillId="0" borderId="0" xfId="0" applyNumberFormat="1" applyAlignment="1" applyProtection="1">
      <alignment horizontal="center"/>
      <protection/>
    </xf>
    <xf numFmtId="164" fontId="0" fillId="0" borderId="26" xfId="0" applyNumberFormat="1" applyBorder="1" applyAlignment="1" applyProtection="1">
      <alignment/>
      <protection/>
    </xf>
    <xf numFmtId="164" fontId="8" fillId="0" borderId="44" xfId="0" applyNumberFormat="1" applyFont="1" applyBorder="1" applyAlignment="1" applyProtection="1">
      <alignment horizontal="left"/>
      <protection locked="0"/>
    </xf>
    <xf numFmtId="164" fontId="8" fillId="0" borderId="44" xfId="0" applyNumberFormat="1" applyFont="1" applyBorder="1" applyAlignment="1" applyProtection="1">
      <alignment/>
      <protection locked="0"/>
    </xf>
    <xf numFmtId="164" fontId="13" fillId="0" borderId="0" xfId="0" applyNumberFormat="1" applyFont="1" applyAlignment="1" applyProtection="1">
      <alignment horizontal="left"/>
      <protection/>
    </xf>
    <xf numFmtId="173" fontId="13" fillId="0" borderId="10" xfId="0" applyNumberFormat="1" applyFont="1" applyBorder="1" applyAlignment="1" applyProtection="1">
      <alignment/>
      <protection locked="0"/>
    </xf>
    <xf numFmtId="173" fontId="13" fillId="39" borderId="10" xfId="0" applyNumberFormat="1" applyFont="1" applyFill="1" applyBorder="1" applyAlignment="1" applyProtection="1">
      <alignment/>
      <protection locked="0"/>
    </xf>
    <xf numFmtId="173" fontId="7" fillId="40" borderId="12" xfId="0" applyNumberFormat="1" applyFont="1" applyFill="1" applyBorder="1" applyAlignment="1" applyProtection="1">
      <alignment/>
      <protection/>
    </xf>
    <xf numFmtId="164" fontId="29" fillId="0" borderId="42" xfId="0" applyFont="1" applyBorder="1" applyAlignment="1" applyProtection="1">
      <alignment horizontal="center"/>
      <protection/>
    </xf>
    <xf numFmtId="164" fontId="29" fillId="0" borderId="0" xfId="0" applyFont="1" applyAlignment="1" applyProtection="1">
      <alignment horizontal="center"/>
      <protection/>
    </xf>
    <xf numFmtId="10" fontId="9" fillId="0" borderId="26" xfId="59" applyNumberFormat="1" applyFont="1" applyBorder="1" applyAlignment="1" applyProtection="1">
      <alignment horizontal="center"/>
      <protection locked="0"/>
    </xf>
    <xf numFmtId="164" fontId="9" fillId="0" borderId="25" xfId="0" applyNumberFormat="1" applyFont="1" applyBorder="1" applyAlignment="1" applyProtection="1">
      <alignment horizontal="left"/>
      <protection/>
    </xf>
    <xf numFmtId="176" fontId="13" fillId="0" borderId="15" xfId="0" applyNumberFormat="1" applyFont="1" applyBorder="1" applyAlignment="1" applyProtection="1">
      <alignment horizontal="center"/>
      <protection locked="0"/>
    </xf>
    <xf numFmtId="176" fontId="13" fillId="0" borderId="23" xfId="0" applyNumberFormat="1" applyFont="1" applyBorder="1" applyAlignment="1" applyProtection="1">
      <alignment horizontal="center"/>
      <protection locked="0"/>
    </xf>
    <xf numFmtId="176" fontId="13" fillId="0" borderId="23" xfId="0" applyNumberFormat="1" applyFont="1" applyFill="1" applyBorder="1" applyAlignment="1" applyProtection="1">
      <alignment horizontal="center"/>
      <protection locked="0"/>
    </xf>
    <xf numFmtId="176" fontId="13" fillId="0" borderId="25" xfId="0" applyNumberFormat="1" applyFont="1" applyBorder="1" applyAlignment="1" applyProtection="1">
      <alignment horizontal="center"/>
      <protection locked="0"/>
    </xf>
    <xf numFmtId="164" fontId="9" fillId="0" borderId="23" xfId="0" applyFont="1" applyBorder="1" applyAlignment="1" applyProtection="1">
      <alignment/>
      <protection/>
    </xf>
    <xf numFmtId="173" fontId="13" fillId="0" borderId="15" xfId="0" applyNumberFormat="1" applyFont="1" applyBorder="1" applyAlignment="1" applyProtection="1">
      <alignment horizontal="center"/>
      <protection locked="0"/>
    </xf>
    <xf numFmtId="173" fontId="13" fillId="0" borderId="23" xfId="0" applyNumberFormat="1" applyFont="1" applyBorder="1" applyAlignment="1" applyProtection="1">
      <alignment horizontal="center"/>
      <protection locked="0"/>
    </xf>
    <xf numFmtId="173" fontId="13" fillId="34" borderId="23" xfId="0" applyNumberFormat="1" applyFont="1" applyFill="1" applyBorder="1" applyAlignment="1" applyProtection="1" quotePrefix="1">
      <alignment horizontal="center"/>
      <protection locked="0"/>
    </xf>
    <xf numFmtId="176" fontId="9" fillId="0" borderId="28" xfId="0" applyNumberFormat="1" applyFont="1" applyBorder="1" applyAlignment="1" applyProtection="1">
      <alignment horizontal="center"/>
      <protection locked="0"/>
    </xf>
    <xf numFmtId="176" fontId="9" fillId="0" borderId="30" xfId="0" applyNumberFormat="1" applyFont="1" applyBorder="1" applyAlignment="1" applyProtection="1">
      <alignment horizontal="center"/>
      <protection locked="0"/>
    </xf>
    <xf numFmtId="176" fontId="9" fillId="34" borderId="30" xfId="0" applyNumberFormat="1" applyFont="1" applyFill="1" applyBorder="1" applyAlignment="1" applyProtection="1" quotePrefix="1">
      <alignment horizontal="center"/>
      <protection locked="0"/>
    </xf>
    <xf numFmtId="176" fontId="9" fillId="0" borderId="21" xfId="0" applyNumberFormat="1" applyFont="1" applyBorder="1" applyAlignment="1" applyProtection="1">
      <alignment horizontal="center"/>
      <protection locked="0"/>
    </xf>
    <xf numFmtId="173" fontId="9" fillId="0" borderId="27" xfId="0" applyNumberFormat="1" applyFont="1" applyBorder="1" applyAlignment="1" applyProtection="1">
      <alignment horizontal="center"/>
      <protection locked="0"/>
    </xf>
    <xf numFmtId="173" fontId="9" fillId="0" borderId="26" xfId="0" applyNumberFormat="1" applyFont="1" applyBorder="1" applyAlignment="1" applyProtection="1">
      <alignment horizontal="center"/>
      <protection locked="0"/>
    </xf>
    <xf numFmtId="173" fontId="9" fillId="34" borderId="26" xfId="0" applyNumberFormat="1" applyFont="1" applyFill="1" applyBorder="1" applyAlignment="1" applyProtection="1" quotePrefix="1">
      <alignment horizontal="center"/>
      <protection locked="0"/>
    </xf>
    <xf numFmtId="173" fontId="9" fillId="0" borderId="24" xfId="0" applyNumberFormat="1" applyFont="1" applyBorder="1" applyAlignment="1" applyProtection="1">
      <alignment horizontal="center"/>
      <protection locked="0"/>
    </xf>
    <xf numFmtId="164" fontId="9" fillId="0" borderId="21" xfId="0" applyNumberFormat="1" applyFont="1" applyBorder="1" applyAlignment="1" applyProtection="1">
      <alignment horizontal="left"/>
      <protection/>
    </xf>
    <xf numFmtId="164" fontId="9" fillId="0" borderId="26" xfId="0" applyFont="1" applyBorder="1" applyAlignment="1" applyProtection="1">
      <alignment/>
      <protection/>
    </xf>
    <xf numFmtId="164" fontId="0" fillId="0" borderId="0" xfId="0" applyAlignment="1" applyProtection="1">
      <alignment horizontal="left"/>
      <protection/>
    </xf>
    <xf numFmtId="164" fontId="5" fillId="0" borderId="0" xfId="0" applyNumberFormat="1" applyFont="1" applyAlignment="1" applyProtection="1">
      <alignment/>
      <protection/>
    </xf>
    <xf numFmtId="164" fontId="0" fillId="0" borderId="0" xfId="0" applyBorder="1" applyAlignment="1" applyProtection="1">
      <alignment/>
      <protection/>
    </xf>
    <xf numFmtId="164" fontId="8" fillId="0" borderId="0" xfId="0" applyNumberFormat="1" applyFont="1" applyAlignment="1" applyProtection="1">
      <alignment horizontal="left"/>
      <protection/>
    </xf>
    <xf numFmtId="164" fontId="0" fillId="0" borderId="45" xfId="0" applyBorder="1" applyAlignment="1" applyProtection="1">
      <alignment horizontal="center"/>
      <protection/>
    </xf>
    <xf numFmtId="164" fontId="0" fillId="0" borderId="46" xfId="0" applyBorder="1" applyAlignment="1" applyProtection="1">
      <alignment horizontal="center"/>
      <protection/>
    </xf>
    <xf numFmtId="164" fontId="0" fillId="0" borderId="47" xfId="0" applyBorder="1" applyAlignment="1" applyProtection="1">
      <alignment/>
      <protection/>
    </xf>
    <xf numFmtId="182" fontId="0" fillId="0" borderId="0" xfId="0" applyNumberFormat="1" applyAlignment="1" applyProtection="1">
      <alignment horizontal="center"/>
      <protection/>
    </xf>
    <xf numFmtId="182" fontId="0" fillId="0" borderId="0" xfId="0" applyNumberFormat="1" applyAlignment="1" applyProtection="1">
      <alignment/>
      <protection/>
    </xf>
    <xf numFmtId="164" fontId="13" fillId="39" borderId="10" xfId="0" applyNumberFormat="1" applyFont="1" applyFill="1" applyBorder="1" applyAlignment="1" applyProtection="1">
      <alignment horizontal="center"/>
      <protection/>
    </xf>
    <xf numFmtId="173" fontId="13" fillId="39" borderId="10" xfId="0" applyNumberFormat="1" applyFont="1" applyFill="1" applyBorder="1" applyAlignment="1" applyProtection="1">
      <alignment/>
      <protection/>
    </xf>
    <xf numFmtId="164" fontId="13" fillId="39" borderId="10" xfId="0" applyNumberFormat="1" applyFont="1" applyFill="1" applyBorder="1" applyAlignment="1" applyProtection="1">
      <alignment/>
      <protection/>
    </xf>
    <xf numFmtId="172" fontId="13" fillId="39" borderId="10" xfId="0" applyNumberFormat="1" applyFont="1" applyFill="1" applyBorder="1" applyAlignment="1" applyProtection="1">
      <alignment/>
      <protection/>
    </xf>
    <xf numFmtId="165" fontId="13" fillId="39" borderId="10" xfId="0" applyNumberFormat="1" applyFont="1" applyFill="1" applyBorder="1" applyAlignment="1" applyProtection="1">
      <alignment/>
      <protection/>
    </xf>
    <xf numFmtId="164" fontId="10" fillId="0" borderId="0" xfId="0" applyFont="1" applyAlignment="1" applyProtection="1">
      <alignment/>
      <protection/>
    </xf>
    <xf numFmtId="164" fontId="0" fillId="0" borderId="0" xfId="0" applyAlignment="1" applyProtection="1">
      <alignment horizontal="right"/>
      <protection/>
    </xf>
    <xf numFmtId="173" fontId="0" fillId="0" borderId="0" xfId="0" applyNumberFormat="1" applyAlignment="1" applyProtection="1">
      <alignment/>
      <protection/>
    </xf>
    <xf numFmtId="173" fontId="0" fillId="0" borderId="0" xfId="44" applyNumberFormat="1" applyFont="1" applyAlignment="1" applyProtection="1">
      <alignment/>
      <protection/>
    </xf>
    <xf numFmtId="164" fontId="13" fillId="0" borderId="0" xfId="0" applyNumberFormat="1" applyFont="1" applyAlignment="1" applyProtection="1">
      <alignment horizontal="left"/>
      <protection locked="0"/>
    </xf>
    <xf numFmtId="164" fontId="7" fillId="0" borderId="0" xfId="0" applyNumberFormat="1" applyFont="1" applyAlignment="1" applyProtection="1">
      <alignment/>
      <protection locked="0"/>
    </xf>
    <xf numFmtId="171" fontId="25" fillId="0" borderId="0" xfId="0" applyNumberFormat="1" applyFont="1" applyAlignment="1" applyProtection="1">
      <alignment horizontal="center"/>
      <protection locked="0"/>
    </xf>
    <xf numFmtId="164" fontId="25" fillId="0" borderId="0" xfId="0" applyFont="1" applyAlignment="1" applyProtection="1">
      <alignment/>
      <protection locked="0"/>
    </xf>
    <xf numFmtId="164" fontId="7" fillId="40" borderId="12" xfId="0" applyNumberFormat="1" applyFont="1" applyFill="1" applyBorder="1" applyAlignment="1" applyProtection="1">
      <alignment/>
      <protection locked="0"/>
    </xf>
    <xf numFmtId="164" fontId="10" fillId="0" borderId="0" xfId="0" applyFont="1" applyAlignment="1" applyProtection="1">
      <alignment horizontal="right"/>
      <protection/>
    </xf>
    <xf numFmtId="173" fontId="9" fillId="0" borderId="0" xfId="42" applyNumberFormat="1" applyFont="1" applyBorder="1" applyAlignment="1" applyProtection="1">
      <alignment horizontal="right"/>
      <protection/>
    </xf>
    <xf numFmtId="164" fontId="7" fillId="0" borderId="0" xfId="0" applyFont="1" applyFill="1" applyBorder="1" applyAlignment="1" applyProtection="1">
      <alignment horizontal="center"/>
      <protection/>
    </xf>
    <xf numFmtId="164" fontId="10" fillId="0" borderId="0" xfId="0" applyNumberFormat="1" applyFont="1" applyBorder="1" applyAlignment="1" applyProtection="1">
      <alignment/>
      <protection/>
    </xf>
    <xf numFmtId="9" fontId="25" fillId="0" borderId="0" xfId="0" applyNumberFormat="1" applyFont="1" applyBorder="1" applyAlignment="1" applyProtection="1">
      <alignment/>
      <protection locked="0"/>
    </xf>
    <xf numFmtId="164" fontId="77" fillId="0" borderId="42" xfId="0" applyFont="1" applyBorder="1" applyAlignment="1" applyProtection="1">
      <alignment horizontal="center"/>
      <protection/>
    </xf>
    <xf numFmtId="164" fontId="77" fillId="0" borderId="0" xfId="0" applyFont="1" applyAlignment="1" applyProtection="1">
      <alignment horizontal="center"/>
      <protection/>
    </xf>
    <xf numFmtId="164" fontId="78" fillId="0" borderId="0" xfId="0" applyNumberFormat="1" applyFont="1" applyAlignment="1" applyProtection="1">
      <alignment horizontal="center"/>
      <protection/>
    </xf>
    <xf numFmtId="164" fontId="32" fillId="0" borderId="0" xfId="53" applyNumberFormat="1" applyFont="1" applyAlignment="1" applyProtection="1">
      <alignment/>
      <protection/>
    </xf>
    <xf numFmtId="5" fontId="9" fillId="0" borderId="10" xfId="42" applyNumberFormat="1" applyFont="1" applyBorder="1" applyAlignment="1" applyProtection="1">
      <alignment/>
      <protection/>
    </xf>
    <xf numFmtId="5" fontId="9" fillId="0" borderId="12" xfId="42" applyNumberFormat="1" applyFont="1" applyBorder="1" applyAlignment="1" applyProtection="1">
      <alignment/>
      <protection/>
    </xf>
    <xf numFmtId="171" fontId="13" fillId="0" borderId="10" xfId="0" applyNumberFormat="1" applyFont="1" applyBorder="1" applyAlignment="1" applyProtection="1">
      <alignment/>
      <protection locked="0"/>
    </xf>
    <xf numFmtId="164" fontId="9" fillId="41" borderId="0" xfId="0" applyNumberFormat="1" applyFont="1" applyFill="1" applyAlignment="1" applyProtection="1">
      <alignment horizontal="center"/>
      <protection/>
    </xf>
    <xf numFmtId="164" fontId="9" fillId="8" borderId="0" xfId="0" applyNumberFormat="1" applyFont="1" applyFill="1" applyAlignment="1" applyProtection="1">
      <alignment horizontal="center"/>
      <protection/>
    </xf>
    <xf numFmtId="164" fontId="9" fillId="41" borderId="31" xfId="0" applyNumberFormat="1" applyFont="1" applyFill="1" applyBorder="1" applyAlignment="1" applyProtection="1">
      <alignment horizontal="center"/>
      <protection/>
    </xf>
    <xf numFmtId="164" fontId="9" fillId="8" borderId="31" xfId="0" applyNumberFormat="1" applyFont="1" applyFill="1" applyBorder="1" applyAlignment="1" applyProtection="1">
      <alignment horizontal="center"/>
      <protection/>
    </xf>
    <xf numFmtId="5" fontId="21" fillId="0" borderId="0" xfId="0" applyNumberFormat="1" applyFont="1" applyAlignment="1" applyProtection="1">
      <alignment/>
      <protection/>
    </xf>
    <xf numFmtId="171" fontId="9" fillId="0" borderId="0" xfId="0" applyNumberFormat="1" applyFont="1" applyFill="1" applyAlignment="1" applyProtection="1">
      <alignment/>
      <protection/>
    </xf>
    <xf numFmtId="164" fontId="34" fillId="42" borderId="0" xfId="0" applyFont="1" applyFill="1" applyAlignment="1" applyProtection="1">
      <alignment horizontal="left"/>
      <protection/>
    </xf>
    <xf numFmtId="164" fontId="12" fillId="42" borderId="0" xfId="0" applyFont="1" applyFill="1" applyAlignment="1" applyProtection="1">
      <alignment horizontal="center"/>
      <protection/>
    </xf>
    <xf numFmtId="164" fontId="79" fillId="0" borderId="31" xfId="0" applyFont="1" applyBorder="1" applyAlignment="1">
      <alignment horizontal="center"/>
    </xf>
    <xf numFmtId="164" fontId="7" fillId="0" borderId="0" xfId="0" applyFont="1" applyFill="1" applyAlignment="1" applyProtection="1">
      <alignment/>
      <protection/>
    </xf>
    <xf numFmtId="5" fontId="11" fillId="42" borderId="0" xfId="0" applyNumberFormat="1" applyFont="1" applyFill="1" applyAlignment="1" applyProtection="1">
      <alignment/>
      <protection/>
    </xf>
    <xf numFmtId="5" fontId="9" fillId="0" borderId="11" xfId="0" applyNumberFormat="1" applyFont="1" applyBorder="1" applyAlignment="1" applyProtection="1">
      <alignment/>
      <protection/>
    </xf>
    <xf numFmtId="5" fontId="9" fillId="0" borderId="31" xfId="0" applyNumberFormat="1" applyFont="1" applyBorder="1" applyAlignment="1" applyProtection="1">
      <alignment/>
      <protection/>
    </xf>
    <xf numFmtId="5" fontId="9" fillId="0" borderId="45" xfId="0" applyNumberFormat="1" applyFont="1" applyBorder="1" applyAlignment="1" applyProtection="1">
      <alignment/>
      <protection/>
    </xf>
    <xf numFmtId="172" fontId="9" fillId="0" borderId="31" xfId="0" applyNumberFormat="1" applyFont="1" applyBorder="1" applyAlignment="1" applyProtection="1">
      <alignment horizontal="right"/>
      <protection/>
    </xf>
    <xf numFmtId="164" fontId="80" fillId="0" borderId="48" xfId="0" applyNumberFormat="1" applyFont="1" applyBorder="1" applyAlignment="1" applyProtection="1">
      <alignment/>
      <protection locked="0"/>
    </xf>
    <xf numFmtId="164" fontId="80" fillId="0" borderId="49" xfId="0" applyNumberFormat="1" applyFont="1" applyBorder="1" applyAlignment="1" applyProtection="1">
      <alignment/>
      <protection locked="0"/>
    </xf>
    <xf numFmtId="164" fontId="80" fillId="0" borderId="50" xfId="0" applyNumberFormat="1" applyFont="1" applyBorder="1" applyAlignment="1" applyProtection="1">
      <alignment horizontal="left"/>
      <protection locked="0"/>
    </xf>
    <xf numFmtId="164" fontId="80" fillId="0" borderId="51" xfId="0" applyNumberFormat="1" applyFont="1" applyBorder="1" applyAlignment="1" applyProtection="1">
      <alignment horizontal="left"/>
      <protection locked="0"/>
    </xf>
    <xf numFmtId="164" fontId="21" fillId="0" borderId="52" xfId="0" applyNumberFormat="1" applyFont="1" applyBorder="1" applyAlignment="1" applyProtection="1">
      <alignment/>
      <protection locked="0"/>
    </xf>
    <xf numFmtId="164" fontId="21" fillId="0" borderId="53" xfId="0" applyNumberFormat="1" applyFont="1" applyBorder="1" applyAlignment="1" applyProtection="1">
      <alignment/>
      <protection locked="0"/>
    </xf>
    <xf numFmtId="171" fontId="9" fillId="0" borderId="0" xfId="42" applyNumberFormat="1" applyFont="1" applyBorder="1" applyAlignment="1" applyProtection="1">
      <alignment/>
      <protection/>
    </xf>
    <xf numFmtId="173" fontId="9" fillId="0" borderId="31" xfId="42" applyNumberFormat="1" applyFont="1" applyBorder="1" applyAlignment="1" applyProtection="1">
      <alignment/>
      <protection/>
    </xf>
    <xf numFmtId="164" fontId="13" fillId="0" borderId="54" xfId="0" applyNumberFormat="1" applyFont="1" applyBorder="1" applyAlignment="1" applyProtection="1">
      <alignment horizontal="center" wrapText="1"/>
      <protection locked="0"/>
    </xf>
    <xf numFmtId="164" fontId="13" fillId="0" borderId="55" xfId="0" applyNumberFormat="1" applyFont="1" applyBorder="1" applyAlignment="1" applyProtection="1">
      <alignment horizontal="center" wrapText="1"/>
      <protection locked="0"/>
    </xf>
    <xf numFmtId="164" fontId="29" fillId="0" borderId="46" xfId="0" applyFont="1" applyBorder="1" applyAlignment="1" applyProtection="1">
      <alignment horizontal="center" wrapText="1"/>
      <protection/>
    </xf>
    <xf numFmtId="164" fontId="29" fillId="0" borderId="47" xfId="0" applyFont="1" applyBorder="1" applyAlignment="1" applyProtection="1">
      <alignment horizontal="center" wrapText="1"/>
      <protection/>
    </xf>
    <xf numFmtId="164" fontId="77" fillId="0" borderId="46" xfId="0" applyFont="1" applyBorder="1" applyAlignment="1" applyProtection="1">
      <alignment horizontal="center" wrapText="1"/>
      <protection/>
    </xf>
    <xf numFmtId="164" fontId="77" fillId="0" borderId="47" xfId="0" applyFont="1" applyBorder="1" applyAlignment="1" applyProtection="1">
      <alignment horizontal="center" wrapText="1"/>
      <protection/>
    </xf>
    <xf numFmtId="164" fontId="21" fillId="0" borderId="56" xfId="0" applyFont="1" applyBorder="1" applyAlignment="1" applyProtection="1">
      <alignment horizontal="center" wrapText="1"/>
      <protection/>
    </xf>
    <xf numFmtId="164" fontId="21" fillId="0" borderId="47" xfId="0" applyFont="1" applyBorder="1" applyAlignment="1" applyProtection="1">
      <alignment horizontal="center" wrapText="1"/>
      <protection/>
    </xf>
    <xf numFmtId="164" fontId="7" fillId="0" borderId="11" xfId="0" applyNumberFormat="1" applyFont="1" applyBorder="1" applyAlignment="1" applyProtection="1">
      <alignment horizontal="center" wrapText="1"/>
      <protection/>
    </xf>
    <xf numFmtId="164" fontId="7" fillId="0" borderId="57" xfId="0" applyNumberFormat="1" applyFont="1" applyBorder="1" applyAlignment="1" applyProtection="1">
      <alignment horizontal="center" wrapText="1"/>
      <protection/>
    </xf>
    <xf numFmtId="164" fontId="7" fillId="0" borderId="58" xfId="0" applyNumberFormat="1" applyFont="1" applyBorder="1" applyAlignment="1" applyProtection="1">
      <alignment horizontal="center" wrapText="1"/>
      <protection/>
    </xf>
    <xf numFmtId="164" fontId="7" fillId="0" borderId="24" xfId="0" applyNumberFormat="1" applyFont="1" applyBorder="1" applyAlignment="1" applyProtection="1">
      <alignment horizontal="center" wrapText="1"/>
      <protection/>
    </xf>
    <xf numFmtId="164" fontId="7" fillId="0" borderId="12" xfId="0" applyNumberFormat="1" applyFont="1" applyBorder="1" applyAlignment="1" applyProtection="1">
      <alignment horizontal="center" wrapText="1"/>
      <protection/>
    </xf>
    <xf numFmtId="164" fontId="7" fillId="0" borderId="43" xfId="0" applyNumberFormat="1" applyFont="1" applyBorder="1" applyAlignment="1" applyProtection="1">
      <alignment horizontal="center" wrapText="1"/>
      <protection/>
    </xf>
    <xf numFmtId="164" fontId="7" fillId="0" borderId="15" xfId="0" applyNumberFormat="1" applyFont="1" applyBorder="1" applyAlignment="1" applyProtection="1">
      <alignment horizontal="left"/>
      <protection/>
    </xf>
    <xf numFmtId="164" fontId="7" fillId="40" borderId="11" xfId="0" applyNumberFormat="1" applyFont="1" applyFill="1" applyBorder="1" applyAlignment="1" applyProtection="1">
      <alignment/>
      <protection/>
    </xf>
    <xf numFmtId="164" fontId="7" fillId="40" borderId="45" xfId="0" applyNumberFormat="1" applyFont="1" applyFill="1" applyBorder="1" applyAlignment="1" applyProtection="1">
      <alignment/>
      <protection/>
    </xf>
    <xf numFmtId="164" fontId="7" fillId="40" borderId="46" xfId="0" applyNumberFormat="1" applyFont="1" applyFill="1" applyBorder="1" applyAlignment="1" applyProtection="1">
      <alignment/>
      <protection/>
    </xf>
    <xf numFmtId="172" fontId="13" fillId="0" borderId="46" xfId="0" applyNumberFormat="1" applyFont="1" applyBorder="1" applyAlignment="1" applyProtection="1">
      <alignment/>
      <protection locked="0"/>
    </xf>
    <xf numFmtId="164" fontId="7" fillId="40" borderId="47" xfId="0" applyNumberFormat="1" applyFont="1" applyFill="1" applyBorder="1" applyAlignment="1" applyProtection="1">
      <alignment/>
      <protection/>
    </xf>
    <xf numFmtId="164" fontId="13" fillId="0" borderId="46" xfId="0" applyNumberFormat="1" applyFont="1" applyBorder="1" applyAlignment="1" applyProtection="1">
      <alignment/>
      <protection locked="0"/>
    </xf>
    <xf numFmtId="181" fontId="7" fillId="0" borderId="46" xfId="42" applyNumberFormat="1" applyFont="1" applyBorder="1" applyAlignment="1" applyProtection="1">
      <alignment/>
      <protection/>
    </xf>
    <xf numFmtId="164" fontId="13" fillId="0" borderId="46" xfId="0" applyNumberFormat="1" applyFont="1" applyBorder="1" applyAlignment="1" applyProtection="1">
      <alignment horizontal="center"/>
      <protection locked="0"/>
    </xf>
    <xf numFmtId="173" fontId="13" fillId="0" borderId="46" xfId="0" applyNumberFormat="1" applyFont="1" applyBorder="1" applyAlignment="1" applyProtection="1">
      <alignment/>
      <protection locked="0"/>
    </xf>
    <xf numFmtId="164" fontId="13" fillId="0" borderId="47" xfId="0" applyNumberFormat="1" applyFont="1" applyBorder="1" applyAlignment="1" applyProtection="1">
      <alignment/>
      <protection locked="0"/>
    </xf>
    <xf numFmtId="164" fontId="9" fillId="0" borderId="0" xfId="0" applyNumberFormat="1" applyFont="1" applyBorder="1" applyAlignment="1" applyProtection="1">
      <alignment/>
      <protection/>
    </xf>
    <xf numFmtId="173" fontId="9" fillId="0" borderId="47" xfId="0" applyNumberFormat="1" applyFont="1" applyBorder="1" applyAlignment="1" applyProtection="1">
      <alignment/>
      <protection/>
    </xf>
    <xf numFmtId="164" fontId="13" fillId="39" borderId="46" xfId="0" applyNumberFormat="1" applyFont="1" applyFill="1" applyBorder="1" applyAlignment="1" applyProtection="1">
      <alignment horizontal="center"/>
      <protection/>
    </xf>
    <xf numFmtId="165" fontId="13" fillId="39" borderId="46" xfId="0" applyNumberFormat="1" applyFont="1" applyFill="1" applyBorder="1" applyAlignment="1" applyProtection="1">
      <alignment/>
      <protection/>
    </xf>
    <xf numFmtId="173" fontId="13" fillId="39" borderId="46" xfId="0" applyNumberFormat="1" applyFont="1" applyFill="1" applyBorder="1" applyAlignment="1" applyProtection="1">
      <alignment/>
      <protection/>
    </xf>
    <xf numFmtId="164" fontId="13" fillId="39" borderId="46" xfId="0" applyNumberFormat="1" applyFont="1" applyFill="1" applyBorder="1" applyAlignment="1" applyProtection="1">
      <alignment/>
      <protection/>
    </xf>
    <xf numFmtId="172" fontId="13" fillId="39" borderId="46" xfId="0" applyNumberFormat="1" applyFont="1" applyFill="1" applyBorder="1" applyAlignment="1" applyProtection="1">
      <alignment/>
      <protection/>
    </xf>
    <xf numFmtId="181" fontId="7" fillId="39" borderId="46" xfId="42" applyNumberFormat="1" applyFont="1" applyFill="1" applyBorder="1" applyAlignment="1" applyProtection="1">
      <alignment/>
      <protection/>
    </xf>
    <xf numFmtId="43" fontId="7" fillId="0" borderId="46" xfId="42" applyNumberFormat="1" applyFont="1" applyBorder="1" applyAlignment="1" applyProtection="1">
      <alignment/>
      <protection/>
    </xf>
    <xf numFmtId="164" fontId="57" fillId="0" borderId="0" xfId="0" applyFont="1" applyAlignment="1">
      <alignment/>
    </xf>
    <xf numFmtId="172" fontId="9" fillId="34" borderId="20" xfId="59" applyNumberFormat="1" applyFont="1" applyFill="1" applyBorder="1" applyAlignment="1" applyProtection="1">
      <alignment/>
      <protection/>
    </xf>
    <xf numFmtId="172" fontId="9" fillId="34" borderId="59" xfId="59" applyNumberFormat="1" applyFont="1" applyFill="1" applyBorder="1" applyAlignment="1" applyProtection="1">
      <alignment/>
      <protection/>
    </xf>
    <xf numFmtId="164" fontId="0" fillId="0" borderId="0" xfId="0" applyAlignment="1">
      <alignment horizontal="right"/>
    </xf>
    <xf numFmtId="164" fontId="10" fillId="43" borderId="0" xfId="0" applyFont="1" applyFill="1" applyAlignment="1" applyProtection="1">
      <alignment/>
      <protection/>
    </xf>
    <xf numFmtId="171" fontId="9" fillId="0" borderId="0" xfId="0" applyNumberFormat="1" applyFont="1" applyFill="1" applyAlignment="1" applyProtection="1">
      <alignment/>
      <protection/>
    </xf>
    <xf numFmtId="164" fontId="10" fillId="0" borderId="0" xfId="0" applyFont="1" applyFill="1" applyAlignment="1" applyProtection="1">
      <alignment/>
      <protection/>
    </xf>
    <xf numFmtId="5" fontId="21" fillId="0" borderId="26" xfId="0" applyNumberFormat="1" applyFont="1" applyBorder="1" applyAlignment="1" applyProtection="1">
      <alignment/>
      <protection/>
    </xf>
    <xf numFmtId="164" fontId="0" fillId="0" borderId="0" xfId="0" applyFill="1" applyBorder="1" applyAlignment="1">
      <alignment/>
    </xf>
    <xf numFmtId="164" fontId="34" fillId="0" borderId="0" xfId="0" applyFont="1" applyFill="1" applyAlignment="1" applyProtection="1">
      <alignment horizontal="left"/>
      <protection/>
    </xf>
    <xf numFmtId="164" fontId="12" fillId="0" borderId="0" xfId="0" applyFont="1" applyFill="1" applyAlignment="1" applyProtection="1">
      <alignment horizontal="center"/>
      <protection/>
    </xf>
    <xf numFmtId="5" fontId="11" fillId="0" borderId="0" xfId="0" applyNumberFormat="1" applyFont="1" applyFill="1" applyAlignment="1" applyProtection="1">
      <alignment/>
      <protection/>
    </xf>
    <xf numFmtId="164" fontId="9" fillId="0" borderId="0" xfId="0" applyFont="1" applyAlignment="1" applyProtection="1">
      <alignment horizontal="right"/>
      <protection/>
    </xf>
    <xf numFmtId="164" fontId="10" fillId="0" borderId="0" xfId="0" applyFont="1" applyAlignment="1">
      <alignment horizontal="right"/>
    </xf>
    <xf numFmtId="164" fontId="0" fillId="0" borderId="0" xfId="0" applyAlignment="1">
      <alignment horizontal="center"/>
    </xf>
    <xf numFmtId="164" fontId="7" fillId="0" borderId="26" xfId="0" applyFont="1" applyBorder="1" applyAlignment="1" applyProtection="1">
      <alignment horizontal="center"/>
      <protection/>
    </xf>
    <xf numFmtId="164" fontId="9" fillId="0" borderId="0" xfId="0" applyFont="1" applyBorder="1" applyAlignment="1" applyProtection="1">
      <alignment/>
      <protection/>
    </xf>
    <xf numFmtId="164" fontId="7" fillId="0" borderId="0" xfId="0" applyFont="1" applyBorder="1" applyAlignment="1" applyProtection="1">
      <alignment/>
      <protection/>
    </xf>
    <xf numFmtId="9" fontId="81" fillId="0" borderId="0" xfId="0" applyNumberFormat="1" applyFont="1" applyBorder="1" applyAlignment="1" applyProtection="1">
      <alignment horizontal="center"/>
      <protection locked="0"/>
    </xf>
    <xf numFmtId="10" fontId="13" fillId="0" borderId="31" xfId="59" applyNumberFormat="1"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4</xdr:row>
      <xdr:rowOff>104775</xdr:rowOff>
    </xdr:from>
    <xdr:to>
      <xdr:col>4</xdr:col>
      <xdr:colOff>38100</xdr:colOff>
      <xdr:row>4</xdr:row>
      <xdr:rowOff>114300</xdr:rowOff>
    </xdr:to>
    <xdr:sp>
      <xdr:nvSpPr>
        <xdr:cNvPr id="1" name="Line 3"/>
        <xdr:cNvSpPr>
          <a:spLocks/>
        </xdr:cNvSpPr>
      </xdr:nvSpPr>
      <xdr:spPr>
        <a:xfrm flipH="1">
          <a:off x="3590925" y="971550"/>
          <a:ext cx="6286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a:ea typeface="TIMES"/>
              <a:cs typeface="TIMES"/>
            </a:rPr>
            <a:t/>
          </a:r>
        </a:p>
      </xdr:txBody>
    </xdr:sp>
    <xdr:clientData/>
  </xdr:twoCellAnchor>
  <xdr:twoCellAnchor>
    <xdr:from>
      <xdr:col>1</xdr:col>
      <xdr:colOff>66675</xdr:colOff>
      <xdr:row>3</xdr:row>
      <xdr:rowOff>152400</xdr:rowOff>
    </xdr:from>
    <xdr:to>
      <xdr:col>3</xdr:col>
      <xdr:colOff>323850</xdr:colOff>
      <xdr:row>5</xdr:row>
      <xdr:rowOff>66675</xdr:rowOff>
    </xdr:to>
    <xdr:sp macro="[0]!PrintAll">
      <xdr:nvSpPr>
        <xdr:cNvPr id="2" name="Rounded Rectangle 1"/>
        <xdr:cNvSpPr>
          <a:spLocks/>
        </xdr:cNvSpPr>
      </xdr:nvSpPr>
      <xdr:spPr>
        <a:xfrm>
          <a:off x="457200" y="828675"/>
          <a:ext cx="3028950" cy="295275"/>
        </a:xfrm>
        <a:prstGeom prst="roundRect">
          <a:avLst/>
        </a:prstGeom>
        <a:solidFill>
          <a:srgbClr val="FFFF99"/>
        </a:solidFill>
        <a:ln w="9525" cmpd="sng">
          <a:solidFill>
            <a:srgbClr val="000000"/>
          </a:solidFill>
          <a:headEnd type="none"/>
          <a:tailEnd type="none"/>
        </a:ln>
      </xdr:spPr>
      <xdr:txBody>
        <a:bodyPr vertOverflow="clip" wrap="square" lIns="18288" tIns="0" rIns="0" bIns="0"/>
        <a:p>
          <a:pPr algn="l">
            <a:defRPr/>
          </a:pPr>
          <a:r>
            <a:rPr lang="en-US" cap="none" sz="1600" b="1" i="0" u="none" baseline="0">
              <a:solidFill>
                <a:srgbClr val="800000"/>
              </a:solidFill>
            </a:rPr>
            <a:t> Print ALL</a:t>
          </a:r>
          <a:r>
            <a:rPr lang="en-US" cap="none" sz="1600" b="1" i="0" u="none" baseline="0">
              <a:solidFill>
                <a:srgbClr val="800000"/>
              </a:solidFill>
            </a:rPr>
            <a:t> Input and Results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666750</xdr:colOff>
      <xdr:row>10</xdr:row>
      <xdr:rowOff>76200</xdr:rowOff>
    </xdr:from>
    <xdr:ext cx="161925" cy="200025"/>
    <xdr:sp>
      <xdr:nvSpPr>
        <xdr:cNvPr id="1" name="Text 4"/>
        <xdr:cNvSpPr txBox="1">
          <a:spLocks noChangeArrowheads="1"/>
        </xdr:cNvSpPr>
      </xdr:nvSpPr>
      <xdr:spPr>
        <a:xfrm>
          <a:off x="7096125" y="2181225"/>
          <a:ext cx="161925" cy="200025"/>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TIMES"/>
              <a:ea typeface="TIMES"/>
              <a:cs typeface="TIMES"/>
            </a:rPr>
            <a:t>X</a:t>
          </a:r>
        </a:p>
      </xdr:txBody>
    </xdr:sp>
    <xdr:clientData/>
  </xdr:oneCellAnchor>
  <xdr:twoCellAnchor>
    <xdr:from>
      <xdr:col>4</xdr:col>
      <xdr:colOff>809625</xdr:colOff>
      <xdr:row>9</xdr:row>
      <xdr:rowOff>123825</xdr:rowOff>
    </xdr:from>
    <xdr:to>
      <xdr:col>8</xdr:col>
      <xdr:colOff>323850</xdr:colOff>
      <xdr:row>12</xdr:row>
      <xdr:rowOff>28575</xdr:rowOff>
    </xdr:to>
    <xdr:sp>
      <xdr:nvSpPr>
        <xdr:cNvPr id="2" name="Rectangle 5"/>
        <xdr:cNvSpPr>
          <a:spLocks/>
        </xdr:cNvSpPr>
      </xdr:nvSpPr>
      <xdr:spPr>
        <a:xfrm>
          <a:off x="4962525" y="2028825"/>
          <a:ext cx="4419600" cy="504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a:ea typeface="TIMES"/>
              <a:cs typeface="TIMES"/>
            </a:rPr>
            <a:t/>
          </a:r>
        </a:p>
      </xdr:txBody>
    </xdr:sp>
    <xdr:clientData/>
  </xdr:twoCellAnchor>
  <xdr:twoCellAnchor>
    <xdr:from>
      <xdr:col>7</xdr:col>
      <xdr:colOff>1476375</xdr:colOff>
      <xdr:row>14</xdr:row>
      <xdr:rowOff>114300</xdr:rowOff>
    </xdr:from>
    <xdr:to>
      <xdr:col>8</xdr:col>
      <xdr:colOff>561975</xdr:colOff>
      <xdr:row>15</xdr:row>
      <xdr:rowOff>114300</xdr:rowOff>
    </xdr:to>
    <xdr:sp>
      <xdr:nvSpPr>
        <xdr:cNvPr id="3" name="Line 6"/>
        <xdr:cNvSpPr>
          <a:spLocks/>
        </xdr:cNvSpPr>
      </xdr:nvSpPr>
      <xdr:spPr>
        <a:xfrm>
          <a:off x="8867775" y="2886075"/>
          <a:ext cx="7524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a:ea typeface="TIMES"/>
              <a:cs typeface="TIMES"/>
            </a:rPr>
            <a:t/>
          </a:r>
        </a:p>
      </xdr:txBody>
    </xdr:sp>
    <xdr:clientData/>
  </xdr:twoCellAnchor>
  <xdr:twoCellAnchor>
    <xdr:from>
      <xdr:col>8</xdr:col>
      <xdr:colOff>533400</xdr:colOff>
      <xdr:row>15</xdr:row>
      <xdr:rowOff>114300</xdr:rowOff>
    </xdr:from>
    <xdr:to>
      <xdr:col>8</xdr:col>
      <xdr:colOff>962025</xdr:colOff>
      <xdr:row>19</xdr:row>
      <xdr:rowOff>9525</xdr:rowOff>
    </xdr:to>
    <xdr:sp>
      <xdr:nvSpPr>
        <xdr:cNvPr id="4" name="Line 7"/>
        <xdr:cNvSpPr>
          <a:spLocks/>
        </xdr:cNvSpPr>
      </xdr:nvSpPr>
      <xdr:spPr>
        <a:xfrm>
          <a:off x="9591675" y="3057525"/>
          <a:ext cx="428625"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a:ea typeface="TIMES"/>
              <a:cs typeface="TIMES"/>
            </a:rPr>
            <a:t/>
          </a:r>
        </a:p>
      </xdr:txBody>
    </xdr:sp>
    <xdr:clientData/>
  </xdr:twoCellAnchor>
  <xdr:oneCellAnchor>
    <xdr:from>
      <xdr:col>4</xdr:col>
      <xdr:colOff>990600</xdr:colOff>
      <xdr:row>37</xdr:row>
      <xdr:rowOff>76200</xdr:rowOff>
    </xdr:from>
    <xdr:ext cx="1924050" cy="247650"/>
    <xdr:sp>
      <xdr:nvSpPr>
        <xdr:cNvPr id="5" name="Text 16"/>
        <xdr:cNvSpPr txBox="1">
          <a:spLocks noChangeArrowheads="1"/>
        </xdr:cNvSpPr>
      </xdr:nvSpPr>
      <xdr:spPr>
        <a:xfrm>
          <a:off x="5143500" y="6848475"/>
          <a:ext cx="1924050" cy="2476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a:ea typeface="TIMES"/>
              <a:cs typeface="TIMES"/>
            </a:rPr>
            <a:t>Established</a:t>
          </a:r>
          <a:r>
            <a:rPr lang="en-US" cap="none" sz="1200" b="0" i="0" u="none" baseline="0">
              <a:solidFill>
                <a:srgbClr val="000000"/>
              </a:solidFill>
              <a:latin typeface="TIMES"/>
              <a:ea typeface="TIMES"/>
              <a:cs typeface="TIMES"/>
            </a:rPr>
            <a:t> Cash Lease</a:t>
          </a:r>
        </a:p>
      </xdr:txBody>
    </xdr:sp>
    <xdr:clientData/>
  </xdr:oneCellAnchor>
  <xdr:oneCellAnchor>
    <xdr:from>
      <xdr:col>6</xdr:col>
      <xdr:colOff>666750</xdr:colOff>
      <xdr:row>37</xdr:row>
      <xdr:rowOff>85725</xdr:rowOff>
    </xdr:from>
    <xdr:ext cx="161925" cy="200025"/>
    <xdr:sp>
      <xdr:nvSpPr>
        <xdr:cNvPr id="6" name="Text 18"/>
        <xdr:cNvSpPr txBox="1">
          <a:spLocks noChangeArrowheads="1"/>
        </xdr:cNvSpPr>
      </xdr:nvSpPr>
      <xdr:spPr>
        <a:xfrm>
          <a:off x="7096125" y="6858000"/>
          <a:ext cx="161925" cy="200025"/>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TIMES"/>
              <a:ea typeface="TIMES"/>
              <a:cs typeface="TIMES"/>
            </a:rPr>
            <a:t>X</a:t>
          </a:r>
        </a:p>
      </xdr:txBody>
    </xdr:sp>
    <xdr:clientData/>
  </xdr:oneCellAnchor>
  <xdr:twoCellAnchor>
    <xdr:from>
      <xdr:col>4</xdr:col>
      <xdr:colOff>790575</xdr:colOff>
      <xdr:row>36</xdr:row>
      <xdr:rowOff>114300</xdr:rowOff>
    </xdr:from>
    <xdr:to>
      <xdr:col>8</xdr:col>
      <xdr:colOff>428625</xdr:colOff>
      <xdr:row>39</xdr:row>
      <xdr:rowOff>38100</xdr:rowOff>
    </xdr:to>
    <xdr:sp>
      <xdr:nvSpPr>
        <xdr:cNvPr id="7" name="Rectangle 12"/>
        <xdr:cNvSpPr>
          <a:spLocks/>
        </xdr:cNvSpPr>
      </xdr:nvSpPr>
      <xdr:spPr>
        <a:xfrm>
          <a:off x="4943475" y="6715125"/>
          <a:ext cx="4543425" cy="438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a:ea typeface="TIMES"/>
              <a:cs typeface="TIMES"/>
            </a:rPr>
            <a:t/>
          </a:r>
        </a:p>
      </xdr:txBody>
    </xdr:sp>
    <xdr:clientData/>
  </xdr:twoCellAnchor>
  <xdr:twoCellAnchor>
    <xdr:from>
      <xdr:col>7</xdr:col>
      <xdr:colOff>1485900</xdr:colOff>
      <xdr:row>41</xdr:row>
      <xdr:rowOff>123825</xdr:rowOff>
    </xdr:from>
    <xdr:to>
      <xdr:col>8</xdr:col>
      <xdr:colOff>561975</xdr:colOff>
      <xdr:row>42</xdr:row>
      <xdr:rowOff>171450</xdr:rowOff>
    </xdr:to>
    <xdr:sp>
      <xdr:nvSpPr>
        <xdr:cNvPr id="8" name="Line 13"/>
        <xdr:cNvSpPr>
          <a:spLocks/>
        </xdr:cNvSpPr>
      </xdr:nvSpPr>
      <xdr:spPr>
        <a:xfrm>
          <a:off x="8877300" y="7505700"/>
          <a:ext cx="74295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a:ea typeface="TIMES"/>
              <a:cs typeface="TIMES"/>
            </a:rPr>
            <a:t/>
          </a:r>
        </a:p>
      </xdr:txBody>
    </xdr:sp>
    <xdr:clientData/>
  </xdr:twoCellAnchor>
  <xdr:twoCellAnchor>
    <xdr:from>
      <xdr:col>8</xdr:col>
      <xdr:colOff>561975</xdr:colOff>
      <xdr:row>42</xdr:row>
      <xdr:rowOff>161925</xdr:rowOff>
    </xdr:from>
    <xdr:to>
      <xdr:col>8</xdr:col>
      <xdr:colOff>952500</xdr:colOff>
      <xdr:row>46</xdr:row>
      <xdr:rowOff>47625</xdr:rowOff>
    </xdr:to>
    <xdr:sp>
      <xdr:nvSpPr>
        <xdr:cNvPr id="9" name="Line 14"/>
        <xdr:cNvSpPr>
          <a:spLocks/>
        </xdr:cNvSpPr>
      </xdr:nvSpPr>
      <xdr:spPr>
        <a:xfrm>
          <a:off x="9620250" y="7715250"/>
          <a:ext cx="39052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a:ea typeface="TIMES"/>
              <a:cs typeface="TIMES"/>
            </a:rPr>
            <a:t/>
          </a:r>
        </a:p>
      </xdr:txBody>
    </xdr:sp>
    <xdr:clientData/>
  </xdr:twoCellAnchor>
  <xdr:twoCellAnchor>
    <xdr:from>
      <xdr:col>1</xdr:col>
      <xdr:colOff>1181100</xdr:colOff>
      <xdr:row>73</xdr:row>
      <xdr:rowOff>9525</xdr:rowOff>
    </xdr:from>
    <xdr:to>
      <xdr:col>7</xdr:col>
      <xdr:colOff>438150</xdr:colOff>
      <xdr:row>75</xdr:row>
      <xdr:rowOff>19050</xdr:rowOff>
    </xdr:to>
    <xdr:sp>
      <xdr:nvSpPr>
        <xdr:cNvPr id="10" name="Rectangle 15"/>
        <xdr:cNvSpPr>
          <a:spLocks/>
        </xdr:cNvSpPr>
      </xdr:nvSpPr>
      <xdr:spPr>
        <a:xfrm>
          <a:off x="1571625" y="12849225"/>
          <a:ext cx="6257925" cy="352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a:ea typeface="TIMES"/>
              <a:cs typeface="TIMES"/>
            </a:rPr>
            <a:t/>
          </a:r>
        </a:p>
      </xdr:txBody>
    </xdr:sp>
    <xdr:clientData/>
  </xdr:twoCellAnchor>
  <xdr:twoCellAnchor>
    <xdr:from>
      <xdr:col>7</xdr:col>
      <xdr:colOff>1628775</xdr:colOff>
      <xdr:row>69</xdr:row>
      <xdr:rowOff>133350</xdr:rowOff>
    </xdr:from>
    <xdr:to>
      <xdr:col>8</xdr:col>
      <xdr:colOff>419100</xdr:colOff>
      <xdr:row>71</xdr:row>
      <xdr:rowOff>85725</xdr:rowOff>
    </xdr:to>
    <xdr:sp>
      <xdr:nvSpPr>
        <xdr:cNvPr id="11" name="Line 16"/>
        <xdr:cNvSpPr>
          <a:spLocks/>
        </xdr:cNvSpPr>
      </xdr:nvSpPr>
      <xdr:spPr>
        <a:xfrm flipV="1">
          <a:off x="9020175" y="12363450"/>
          <a:ext cx="45720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a:ea typeface="TIMES"/>
              <a:cs typeface="TIMES"/>
            </a:rPr>
            <a:t/>
          </a:r>
        </a:p>
      </xdr:txBody>
    </xdr:sp>
    <xdr:clientData/>
  </xdr:twoCellAnchor>
  <xdr:oneCellAnchor>
    <xdr:from>
      <xdr:col>3</xdr:col>
      <xdr:colOff>428625</xdr:colOff>
      <xdr:row>73</xdr:row>
      <xdr:rowOff>66675</xdr:rowOff>
    </xdr:from>
    <xdr:ext cx="161925" cy="200025"/>
    <xdr:sp>
      <xdr:nvSpPr>
        <xdr:cNvPr id="12" name="Text Box 17"/>
        <xdr:cNvSpPr txBox="1">
          <a:spLocks noChangeArrowheads="1"/>
        </xdr:cNvSpPr>
      </xdr:nvSpPr>
      <xdr:spPr>
        <a:xfrm>
          <a:off x="3743325" y="12906375"/>
          <a:ext cx="161925" cy="200025"/>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TIMES"/>
              <a:ea typeface="TIMES"/>
              <a:cs typeface="TIMES"/>
            </a:rPr>
            <a:t>X</a:t>
          </a:r>
        </a:p>
      </xdr:txBody>
    </xdr:sp>
    <xdr:clientData/>
  </xdr:oneCellAnchor>
  <xdr:oneCellAnchor>
    <xdr:from>
      <xdr:col>5</xdr:col>
      <xdr:colOff>504825</xdr:colOff>
      <xdr:row>73</xdr:row>
      <xdr:rowOff>85725</xdr:rowOff>
    </xdr:from>
    <xdr:ext cx="171450" cy="200025"/>
    <xdr:sp>
      <xdr:nvSpPr>
        <xdr:cNvPr id="13" name="Text Box 18"/>
        <xdr:cNvSpPr txBox="1">
          <a:spLocks noChangeArrowheads="1"/>
        </xdr:cNvSpPr>
      </xdr:nvSpPr>
      <xdr:spPr>
        <a:xfrm>
          <a:off x="5676900" y="12925425"/>
          <a:ext cx="171450" cy="200025"/>
        </a:xfrm>
        <a:prstGeom prst="rect">
          <a:avLst/>
        </a:prstGeom>
        <a:noFill/>
        <a:ln w="9525" cmpd="sng">
          <a:noFill/>
        </a:ln>
      </xdr:spPr>
      <xdr:txBody>
        <a:bodyPr vertOverflow="clip" wrap="square" lIns="18288" tIns="27432" rIns="0" bIns="0">
          <a:spAutoFit/>
        </a:bodyPr>
        <a:p>
          <a:pPr algn="l">
            <a:defRPr/>
          </a:pPr>
          <a:r>
            <a:rPr lang="en-US" cap="none" sz="1200" b="0" i="0" u="none" baseline="0">
              <a:solidFill>
                <a:srgbClr val="000000"/>
              </a:solidFill>
              <a:latin typeface="TIMES"/>
              <a:ea typeface="TIMES"/>
              <a:cs typeface="TIMES"/>
            </a:rPr>
            <a:t>X</a:t>
          </a:r>
        </a:p>
      </xdr:txBody>
    </xdr:sp>
    <xdr:clientData/>
  </xdr:oneCellAnchor>
  <xdr:twoCellAnchor>
    <xdr:from>
      <xdr:col>4</xdr:col>
      <xdr:colOff>952500</xdr:colOff>
      <xdr:row>10</xdr:row>
      <xdr:rowOff>76200</xdr:rowOff>
    </xdr:from>
    <xdr:to>
      <xdr:col>6</xdr:col>
      <xdr:colOff>561975</xdr:colOff>
      <xdr:row>11</xdr:row>
      <xdr:rowOff>114300</xdr:rowOff>
    </xdr:to>
    <xdr:sp>
      <xdr:nvSpPr>
        <xdr:cNvPr id="14" name="TextBox 1"/>
        <xdr:cNvSpPr txBox="1">
          <a:spLocks noChangeArrowheads="1"/>
        </xdr:cNvSpPr>
      </xdr:nvSpPr>
      <xdr:spPr>
        <a:xfrm>
          <a:off x="5105400" y="2181225"/>
          <a:ext cx="1885950" cy="238125"/>
        </a:xfrm>
        <a:prstGeom prst="rect">
          <a:avLst/>
        </a:prstGeom>
        <a:solidFill>
          <a:srgbClr val="FFFFFF"/>
        </a:solidFill>
        <a:ln w="9525" cmpd="sng">
          <a:noFill/>
        </a:ln>
      </xdr:spPr>
      <xdr:txBody>
        <a:bodyPr vertOverflow="clip" wrap="square" lIns="0" tIns="0" rIns="0" bIns="0"/>
        <a:p>
          <a:pPr algn="l">
            <a:defRPr/>
          </a:pPr>
          <a:r>
            <a:rPr lang="en-US" cap="none" sz="1200" b="0" i="0" u="none" baseline="0">
              <a:solidFill>
                <a:srgbClr val="000000"/>
              </a:solidFill>
            </a:rPr>
            <a:t>Established Cash Lease Rate</a:t>
          </a:r>
        </a:p>
      </xdr:txBody>
    </xdr:sp>
    <xdr:clientData/>
  </xdr:twoCellAnchor>
  <xdr:twoCellAnchor>
    <xdr:from>
      <xdr:col>7</xdr:col>
      <xdr:colOff>133350</xdr:colOff>
      <xdr:row>71</xdr:row>
      <xdr:rowOff>85725</xdr:rowOff>
    </xdr:from>
    <xdr:to>
      <xdr:col>7</xdr:col>
      <xdr:colOff>1628775</xdr:colOff>
      <xdr:row>72</xdr:row>
      <xdr:rowOff>66675</xdr:rowOff>
    </xdr:to>
    <xdr:sp>
      <xdr:nvSpPr>
        <xdr:cNvPr id="15" name="Straight Connector 4"/>
        <xdr:cNvSpPr>
          <a:spLocks/>
        </xdr:cNvSpPr>
      </xdr:nvSpPr>
      <xdr:spPr>
        <a:xfrm flipV="1">
          <a:off x="7524750" y="12658725"/>
          <a:ext cx="1504950" cy="7620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a:ea typeface="TIMES"/>
              <a:cs typeface="TIME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tana.edu/softwaredownload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S446"/>
  <sheetViews>
    <sheetView showGridLines="0" tabSelected="1" zoomScalePageLayoutView="0" workbookViewId="0" topLeftCell="A1">
      <selection activeCell="A1" sqref="A1"/>
    </sheetView>
  </sheetViews>
  <sheetFormatPr defaultColWidth="9.796875" defaultRowHeight="15"/>
  <cols>
    <col min="1" max="1" width="4.09765625" style="0" customWidth="1"/>
    <col min="2" max="2" width="20.09765625" style="0" customWidth="1"/>
    <col min="3" max="3" width="9" style="0" customWidth="1"/>
    <col min="4" max="4" width="10.69921875" style="0" customWidth="1"/>
    <col min="5" max="5" width="12.69921875" style="0" customWidth="1"/>
    <col min="6" max="6" width="12.3984375" style="0" customWidth="1"/>
    <col min="7" max="8" width="11.69921875" style="0" customWidth="1"/>
    <col min="9" max="9" width="13.5" style="0" customWidth="1"/>
    <col min="10" max="10" width="12" style="0" customWidth="1"/>
    <col min="11" max="16384" width="9.69921875" style="0" customWidth="1"/>
  </cols>
  <sheetData>
    <row r="1" spans="1:15" ht="23.25">
      <c r="A1" s="50"/>
      <c r="B1" s="41" t="s">
        <v>195</v>
      </c>
      <c r="C1" s="38"/>
      <c r="D1" s="38"/>
      <c r="E1" s="38"/>
      <c r="F1" s="38"/>
      <c r="G1" s="38"/>
      <c r="H1" s="38"/>
      <c r="I1" s="38"/>
      <c r="J1" s="38"/>
      <c r="K1" s="1"/>
      <c r="L1" s="1"/>
      <c r="M1" s="50"/>
      <c r="N1" s="50"/>
      <c r="O1" s="4"/>
    </row>
    <row r="2" spans="1:15" ht="15" customHeight="1">
      <c r="A2" s="50"/>
      <c r="B2" s="38"/>
      <c r="C2" s="38"/>
      <c r="D2" s="38"/>
      <c r="E2" s="38"/>
      <c r="F2" s="38"/>
      <c r="G2" s="38"/>
      <c r="H2" s="38"/>
      <c r="I2" s="38"/>
      <c r="J2" s="38"/>
      <c r="L2" s="1" t="s">
        <v>134</v>
      </c>
      <c r="M2" s="1"/>
      <c r="N2" s="50"/>
      <c r="O2" s="4"/>
    </row>
    <row r="3" spans="1:15" ht="15" customHeight="1">
      <c r="A3" s="50"/>
      <c r="B3" s="38"/>
      <c r="C3" s="49" t="s">
        <v>129</v>
      </c>
      <c r="D3" s="38"/>
      <c r="E3" s="38"/>
      <c r="F3" s="38"/>
      <c r="G3" s="38"/>
      <c r="H3" s="38"/>
      <c r="I3" s="38"/>
      <c r="J3" s="38"/>
      <c r="L3" s="1" t="s">
        <v>135</v>
      </c>
      <c r="M3" s="1"/>
      <c r="N3" s="50"/>
      <c r="O3" s="4"/>
    </row>
    <row r="4" spans="1:15" ht="15" customHeight="1">
      <c r="A4" s="50"/>
      <c r="B4" s="38"/>
      <c r="C4" s="38"/>
      <c r="D4" s="38"/>
      <c r="E4" s="38"/>
      <c r="F4" s="38"/>
      <c r="G4" s="38"/>
      <c r="H4" s="38"/>
      <c r="I4" s="38"/>
      <c r="J4" s="38"/>
      <c r="L4" s="1" t="s">
        <v>133</v>
      </c>
      <c r="M4" s="1"/>
      <c r="N4" s="50"/>
      <c r="O4" s="4"/>
    </row>
    <row r="5" spans="1:15" ht="15" customHeight="1">
      <c r="A5" s="50"/>
      <c r="B5" s="38"/>
      <c r="C5" s="38"/>
      <c r="D5" s="38"/>
      <c r="E5" s="49" t="s">
        <v>201</v>
      </c>
      <c r="F5" s="38"/>
      <c r="G5" s="38"/>
      <c r="H5" s="38"/>
      <c r="I5" s="38"/>
      <c r="J5" s="38"/>
      <c r="L5" s="261" t="s">
        <v>200</v>
      </c>
      <c r="M5" s="1"/>
      <c r="N5" s="50"/>
      <c r="O5" s="4"/>
    </row>
    <row r="6" spans="1:15" ht="15" customHeight="1">
      <c r="A6" s="50"/>
      <c r="B6" s="38"/>
      <c r="C6" s="38"/>
      <c r="D6" s="38"/>
      <c r="E6" s="38"/>
      <c r="F6" s="38"/>
      <c r="G6" s="38"/>
      <c r="H6" s="38"/>
      <c r="I6" s="38"/>
      <c r="J6" s="38"/>
      <c r="L6" s="1" t="s">
        <v>202</v>
      </c>
      <c r="M6" s="1"/>
      <c r="N6" s="50"/>
      <c r="O6" s="4"/>
    </row>
    <row r="7" spans="1:15" ht="15" customHeight="1">
      <c r="A7" s="50"/>
      <c r="B7" s="50"/>
      <c r="C7" s="302" t="s">
        <v>128</v>
      </c>
      <c r="D7" s="117"/>
      <c r="E7" s="117"/>
      <c r="F7" s="117"/>
      <c r="G7" s="117"/>
      <c r="H7" s="118"/>
      <c r="I7" s="7"/>
      <c r="J7" s="7"/>
      <c r="K7" s="1"/>
      <c r="L7" s="1"/>
      <c r="M7" s="50"/>
      <c r="N7" s="50"/>
      <c r="O7" s="4"/>
    </row>
    <row r="8" spans="1:15" ht="15" customHeight="1">
      <c r="A8" s="50"/>
      <c r="B8" s="50"/>
      <c r="C8" s="42" t="s">
        <v>24</v>
      </c>
      <c r="D8" s="42" t="s">
        <v>25</v>
      </c>
      <c r="E8" s="42" t="s">
        <v>113</v>
      </c>
      <c r="F8" s="42" t="s">
        <v>114</v>
      </c>
      <c r="G8" s="42" t="s">
        <v>115</v>
      </c>
      <c r="H8" s="42" t="s">
        <v>116</v>
      </c>
      <c r="I8" s="9" t="s">
        <v>4</v>
      </c>
      <c r="J8" s="7"/>
      <c r="K8" s="1"/>
      <c r="L8" s="1"/>
      <c r="M8" s="50"/>
      <c r="N8" s="50"/>
      <c r="O8" s="4"/>
    </row>
    <row r="9" spans="1:15" ht="15" customHeight="1">
      <c r="A9" s="50"/>
      <c r="B9" s="43" t="s">
        <v>125</v>
      </c>
      <c r="C9" s="288" t="s">
        <v>33</v>
      </c>
      <c r="D9" s="288" t="s">
        <v>117</v>
      </c>
      <c r="E9" s="288" t="s">
        <v>173</v>
      </c>
      <c r="F9" s="288" t="s">
        <v>161</v>
      </c>
      <c r="G9" s="288" t="s">
        <v>49</v>
      </c>
      <c r="H9" s="288" t="s">
        <v>132</v>
      </c>
      <c r="I9" s="13" t="s">
        <v>23</v>
      </c>
      <c r="J9" s="7"/>
      <c r="K9" s="256"/>
      <c r="L9" s="256"/>
      <c r="M9" s="232"/>
      <c r="N9" s="50"/>
      <c r="O9" s="4"/>
    </row>
    <row r="10" spans="1:15" ht="15" customHeight="1" thickBot="1">
      <c r="A10" s="50"/>
      <c r="B10" s="7"/>
      <c r="C10" s="289"/>
      <c r="D10" s="289"/>
      <c r="E10" s="289"/>
      <c r="F10" s="289"/>
      <c r="G10" s="289"/>
      <c r="H10" s="289"/>
      <c r="I10" s="13" t="s">
        <v>26</v>
      </c>
      <c r="J10" s="7"/>
      <c r="K10" s="164"/>
      <c r="L10" s="257"/>
      <c r="M10" s="232"/>
      <c r="N10" s="50"/>
      <c r="O10" s="4"/>
    </row>
    <row r="11" spans="1:15" ht="15" customHeight="1" thickTop="1">
      <c r="A11" s="50"/>
      <c r="B11" s="6" t="s">
        <v>27</v>
      </c>
      <c r="C11" s="121">
        <v>400</v>
      </c>
      <c r="D11" s="121">
        <v>750</v>
      </c>
      <c r="E11" s="121">
        <v>500</v>
      </c>
      <c r="F11" s="121">
        <v>300</v>
      </c>
      <c r="G11" s="121">
        <v>550</v>
      </c>
      <c r="H11" s="122">
        <v>0</v>
      </c>
      <c r="I11" s="192">
        <f>SUM(C11:H11)</f>
        <v>2500</v>
      </c>
      <c r="J11" s="7"/>
      <c r="K11" s="164"/>
      <c r="L11" s="257"/>
      <c r="M11" s="232"/>
      <c r="N11" s="50"/>
      <c r="O11" s="4"/>
    </row>
    <row r="12" spans="1:15" ht="15" customHeight="1">
      <c r="A12" s="50"/>
      <c r="B12" s="6" t="s">
        <v>28</v>
      </c>
      <c r="C12" s="123">
        <v>42</v>
      </c>
      <c r="D12" s="123">
        <v>28</v>
      </c>
      <c r="E12" s="123">
        <v>22</v>
      </c>
      <c r="F12" s="124">
        <v>52</v>
      </c>
      <c r="G12" s="123">
        <v>0</v>
      </c>
      <c r="H12" s="125">
        <v>0</v>
      </c>
      <c r="I12" s="12"/>
      <c r="J12" s="7"/>
      <c r="K12" s="164"/>
      <c r="L12" s="257"/>
      <c r="M12" s="232"/>
      <c r="N12" s="50"/>
      <c r="O12" s="4"/>
    </row>
    <row r="13" spans="1:15" ht="15" customHeight="1">
      <c r="A13" s="50"/>
      <c r="B13" s="6" t="s">
        <v>29</v>
      </c>
      <c r="C13" s="126">
        <v>8.5</v>
      </c>
      <c r="D13" s="126">
        <v>9.5</v>
      </c>
      <c r="E13" s="126">
        <v>10</v>
      </c>
      <c r="F13" s="127">
        <v>10.5</v>
      </c>
      <c r="G13" s="126">
        <v>0</v>
      </c>
      <c r="H13" s="128">
        <v>0</v>
      </c>
      <c r="I13" s="13" t="s">
        <v>4</v>
      </c>
      <c r="J13" s="7"/>
      <c r="K13" s="1"/>
      <c r="L13" s="151"/>
      <c r="M13" s="50"/>
      <c r="N13" s="50"/>
      <c r="O13" s="4"/>
    </row>
    <row r="14" spans="1:15" ht="15" customHeight="1">
      <c r="A14" s="50"/>
      <c r="B14" s="6" t="s">
        <v>30</v>
      </c>
      <c r="C14" s="129">
        <f>0.52*C12</f>
        <v>21.84</v>
      </c>
      <c r="D14" s="130">
        <f>0.52*D12</f>
        <v>14.56</v>
      </c>
      <c r="E14" s="130">
        <f>0.52*E12</f>
        <v>11.440000000000001</v>
      </c>
      <c r="F14" s="131">
        <f>0.24*F12</f>
        <v>12.48</v>
      </c>
      <c r="G14" s="130">
        <v>0</v>
      </c>
      <c r="H14" s="132">
        <v>0</v>
      </c>
      <c r="I14" s="22" t="s">
        <v>31</v>
      </c>
      <c r="J14" s="7"/>
      <c r="K14" s="50"/>
      <c r="L14" s="50"/>
      <c r="M14" s="50"/>
      <c r="N14" s="50"/>
      <c r="O14" s="4"/>
    </row>
    <row r="15" spans="1:15" ht="15" customHeight="1">
      <c r="A15" s="50"/>
      <c r="B15" s="23" t="s">
        <v>32</v>
      </c>
      <c r="C15" s="39">
        <f aca="true" t="shared" si="0" ref="C15:H15">C11*(C12*C13+C14)</f>
        <v>151536</v>
      </c>
      <c r="D15" s="39">
        <f t="shared" si="0"/>
        <v>210420</v>
      </c>
      <c r="E15" s="39">
        <f t="shared" si="0"/>
        <v>115720</v>
      </c>
      <c r="F15" s="39">
        <f t="shared" si="0"/>
        <v>167544</v>
      </c>
      <c r="G15" s="39">
        <f t="shared" si="0"/>
        <v>0</v>
      </c>
      <c r="H15" s="39">
        <f t="shared" si="0"/>
        <v>0</v>
      </c>
      <c r="I15" s="40">
        <f>SUM(C15:H15)</f>
        <v>645220</v>
      </c>
      <c r="J15" s="7"/>
      <c r="K15" s="1"/>
      <c r="L15" s="1"/>
      <c r="M15" s="50"/>
      <c r="N15" s="50"/>
      <c r="O15" s="4"/>
    </row>
    <row r="16" spans="1:15" ht="15" customHeight="1">
      <c r="A16" s="50"/>
      <c r="C16" s="7"/>
      <c r="D16" s="7"/>
      <c r="E16" s="7"/>
      <c r="F16" s="7"/>
      <c r="G16" s="7"/>
      <c r="H16" s="7"/>
      <c r="I16" s="7"/>
      <c r="J16" s="7"/>
      <c r="K16" s="1"/>
      <c r="L16" s="1"/>
      <c r="M16" s="50"/>
      <c r="N16" s="50"/>
      <c r="O16" s="4"/>
    </row>
    <row r="17" spans="1:15" ht="15" customHeight="1">
      <c r="A17" s="50"/>
      <c r="B17" s="6" t="s">
        <v>203</v>
      </c>
      <c r="D17" s="150">
        <v>0.07</v>
      </c>
      <c r="E17" s="7"/>
      <c r="F17" s="7"/>
      <c r="G17" s="7"/>
      <c r="H17" s="7"/>
      <c r="I17" s="7"/>
      <c r="J17" s="7"/>
      <c r="K17" s="1"/>
      <c r="L17" s="1"/>
      <c r="M17" s="50"/>
      <c r="N17" s="50"/>
      <c r="O17" s="4"/>
    </row>
    <row r="18" spans="1:15" ht="15" customHeight="1">
      <c r="A18" s="50"/>
      <c r="B18" s="50"/>
      <c r="C18" s="50"/>
      <c r="D18" s="50"/>
      <c r="E18" s="50"/>
      <c r="F18" s="50"/>
      <c r="G18" s="50"/>
      <c r="H18" s="50"/>
      <c r="I18" s="50"/>
      <c r="J18" s="50"/>
      <c r="K18" s="1"/>
      <c r="L18" s="1"/>
      <c r="M18" s="50"/>
      <c r="N18" s="50"/>
      <c r="O18" s="4"/>
    </row>
    <row r="19" spans="1:15" ht="15" customHeight="1">
      <c r="A19" s="50"/>
      <c r="B19" s="41" t="s">
        <v>228</v>
      </c>
      <c r="C19" s="38"/>
      <c r="D19" s="38"/>
      <c r="E19" s="38"/>
      <c r="F19" s="38"/>
      <c r="G19" s="38"/>
      <c r="H19" s="38"/>
      <c r="I19" s="38"/>
      <c r="J19" s="38"/>
      <c r="K19" s="1"/>
      <c r="L19" s="1"/>
      <c r="M19" s="50"/>
      <c r="N19" s="50"/>
      <c r="O19" s="4"/>
    </row>
    <row r="20" spans="1:16" ht="15.75" customHeight="1">
      <c r="A20" s="50"/>
      <c r="B20" s="41" t="s">
        <v>229</v>
      </c>
      <c r="C20" s="50"/>
      <c r="D20" s="50"/>
      <c r="E20" s="50"/>
      <c r="F20" s="50"/>
      <c r="G20" s="50"/>
      <c r="H20" s="50"/>
      <c r="I20" s="50"/>
      <c r="J20" s="50"/>
      <c r="K20" s="1"/>
      <c r="L20" s="1"/>
      <c r="M20" s="50"/>
      <c r="N20" s="50"/>
      <c r="O20" s="230"/>
      <c r="P20" s="3"/>
    </row>
    <row r="21" spans="1:19" ht="15" customHeight="1">
      <c r="A21" s="50"/>
      <c r="B21" s="7"/>
      <c r="C21" s="7"/>
      <c r="D21" s="7"/>
      <c r="E21" s="7"/>
      <c r="F21" s="42" t="s">
        <v>0</v>
      </c>
      <c r="G21" s="42" t="s">
        <v>1</v>
      </c>
      <c r="H21" s="42" t="s">
        <v>2</v>
      </c>
      <c r="I21" s="42" t="s">
        <v>3</v>
      </c>
      <c r="J21" s="42" t="s">
        <v>3</v>
      </c>
      <c r="K21" s="1"/>
      <c r="L21" s="1"/>
      <c r="M21" s="50"/>
      <c r="N21" s="50"/>
      <c r="O21" s="50"/>
      <c r="R21" s="2"/>
      <c r="S21" s="2"/>
    </row>
    <row r="22" spans="1:16" ht="15" customHeight="1">
      <c r="A22" s="50"/>
      <c r="B22" s="6"/>
      <c r="C22" s="7"/>
      <c r="D22" s="7"/>
      <c r="E22" s="7"/>
      <c r="F22" s="42" t="s">
        <v>4</v>
      </c>
      <c r="G22" s="42" t="s">
        <v>5</v>
      </c>
      <c r="H22" s="42" t="s">
        <v>223</v>
      </c>
      <c r="I22" s="42" t="s">
        <v>7</v>
      </c>
      <c r="J22" s="42" t="s">
        <v>6</v>
      </c>
      <c r="K22" s="1"/>
      <c r="L22" s="1"/>
      <c r="M22" s="50"/>
      <c r="N22" s="50"/>
      <c r="O22" s="230"/>
      <c r="P22" s="3"/>
    </row>
    <row r="23" spans="1:15" ht="15" customHeight="1">
      <c r="A23" s="50"/>
      <c r="B23" s="49" t="s">
        <v>130</v>
      </c>
      <c r="C23" s="173"/>
      <c r="D23" s="173"/>
      <c r="E23" s="173"/>
      <c r="F23" s="38" t="s">
        <v>3</v>
      </c>
      <c r="G23" s="42" t="s">
        <v>8</v>
      </c>
      <c r="H23" s="42" t="s">
        <v>9</v>
      </c>
      <c r="I23" s="42" t="s">
        <v>9</v>
      </c>
      <c r="J23" s="42" t="s">
        <v>9</v>
      </c>
      <c r="K23" s="1"/>
      <c r="L23" s="1"/>
      <c r="M23" s="50"/>
      <c r="N23" s="50"/>
      <c r="O23" s="50"/>
    </row>
    <row r="24" spans="1:16" ht="18.75">
      <c r="A24" s="50"/>
      <c r="B24" s="186" t="s">
        <v>131</v>
      </c>
      <c r="C24" s="187"/>
      <c r="D24" s="187"/>
      <c r="E24" s="187"/>
      <c r="F24" s="188"/>
      <c r="G24" s="11"/>
      <c r="H24" s="11"/>
      <c r="I24" s="11"/>
      <c r="J24" s="11"/>
      <c r="K24" s="5"/>
      <c r="L24" s="1"/>
      <c r="M24" s="50"/>
      <c r="N24" s="50"/>
      <c r="O24" s="230"/>
      <c r="P24" s="3"/>
    </row>
    <row r="25" spans="1:15" ht="18.75">
      <c r="A25" s="50"/>
      <c r="B25" s="49" t="s">
        <v>10</v>
      </c>
      <c r="C25" s="173"/>
      <c r="D25" s="173"/>
      <c r="E25" s="173"/>
      <c r="F25" s="264">
        <f>I11*450</f>
        <v>1125000</v>
      </c>
      <c r="G25" s="134">
        <v>0.05</v>
      </c>
      <c r="H25" s="134">
        <v>1</v>
      </c>
      <c r="I25" s="262">
        <f aca="true" t="shared" si="1" ref="I25:I30">F25*G25*(1-H25)</f>
        <v>0</v>
      </c>
      <c r="J25" s="262">
        <f aca="true" t="shared" si="2" ref="J25:J30">F25*G25*H25</f>
        <v>56250</v>
      </c>
      <c r="K25" s="5"/>
      <c r="L25" s="1"/>
      <c r="M25" s="50"/>
      <c r="N25" s="50"/>
      <c r="O25" s="50"/>
    </row>
    <row r="26" spans="1:16" ht="18.75">
      <c r="A26" s="50"/>
      <c r="B26" s="49" t="s">
        <v>11</v>
      </c>
      <c r="C26" s="173"/>
      <c r="D26" s="173"/>
      <c r="E26" s="173"/>
      <c r="F26" s="264">
        <v>0</v>
      </c>
      <c r="G26" s="134">
        <v>0.05</v>
      </c>
      <c r="H26" s="134">
        <v>1</v>
      </c>
      <c r="I26" s="262">
        <f t="shared" si="1"/>
        <v>0</v>
      </c>
      <c r="J26" s="262">
        <f t="shared" si="2"/>
        <v>0</v>
      </c>
      <c r="K26" s="5"/>
      <c r="L26" s="1"/>
      <c r="M26" s="50"/>
      <c r="N26" s="50"/>
      <c r="O26" s="230"/>
      <c r="P26" s="3"/>
    </row>
    <row r="27" spans="1:15" ht="18.75">
      <c r="A27" s="50"/>
      <c r="B27" s="49" t="s">
        <v>224</v>
      </c>
      <c r="C27" s="173"/>
      <c r="D27" s="173"/>
      <c r="E27" s="173"/>
      <c r="F27" s="264">
        <v>280000</v>
      </c>
      <c r="G27" s="134">
        <v>0.05</v>
      </c>
      <c r="H27" s="134">
        <v>0</v>
      </c>
      <c r="I27" s="262">
        <f t="shared" si="1"/>
        <v>14000</v>
      </c>
      <c r="J27" s="262">
        <f t="shared" si="2"/>
        <v>0</v>
      </c>
      <c r="K27" s="5"/>
      <c r="L27" s="1"/>
      <c r="M27" s="50"/>
      <c r="N27" s="50"/>
      <c r="O27" s="50"/>
    </row>
    <row r="28" spans="1:16" ht="18.75">
      <c r="A28" s="50"/>
      <c r="B28" s="49" t="s">
        <v>225</v>
      </c>
      <c r="C28" s="173"/>
      <c r="D28" s="173"/>
      <c r="E28" s="173"/>
      <c r="F28" s="264">
        <v>0</v>
      </c>
      <c r="G28" s="134">
        <v>0.05</v>
      </c>
      <c r="H28" s="134">
        <v>0</v>
      </c>
      <c r="I28" s="262">
        <f t="shared" si="1"/>
        <v>0</v>
      </c>
      <c r="J28" s="262">
        <f t="shared" si="2"/>
        <v>0</v>
      </c>
      <c r="K28" s="5"/>
      <c r="L28" s="1"/>
      <c r="M28" s="50"/>
      <c r="N28" s="50"/>
      <c r="O28" s="230"/>
      <c r="P28" s="3"/>
    </row>
    <row r="29" spans="1:15" ht="18.75">
      <c r="A29" s="50"/>
      <c r="B29" s="282" t="s">
        <v>226</v>
      </c>
      <c r="C29" s="280"/>
      <c r="D29" s="280"/>
      <c r="E29" s="284"/>
      <c r="F29" s="264">
        <v>0</v>
      </c>
      <c r="G29" s="134">
        <v>0</v>
      </c>
      <c r="H29" s="134">
        <v>0</v>
      </c>
      <c r="I29" s="262">
        <f t="shared" si="1"/>
        <v>0</v>
      </c>
      <c r="J29" s="262">
        <f t="shared" si="2"/>
        <v>0</v>
      </c>
      <c r="K29" s="5"/>
      <c r="L29" s="1"/>
      <c r="M29" s="50"/>
      <c r="N29" s="50"/>
      <c r="O29" s="50"/>
    </row>
    <row r="30" spans="1:16" ht="18.75">
      <c r="A30" s="50"/>
      <c r="B30" s="283" t="s">
        <v>226</v>
      </c>
      <c r="C30" s="281"/>
      <c r="D30" s="281"/>
      <c r="E30" s="285"/>
      <c r="F30" s="264">
        <v>0</v>
      </c>
      <c r="G30" s="134">
        <v>0</v>
      </c>
      <c r="H30" s="134">
        <v>0</v>
      </c>
      <c r="I30" s="262">
        <f t="shared" si="1"/>
        <v>0</v>
      </c>
      <c r="J30" s="262">
        <f t="shared" si="2"/>
        <v>0</v>
      </c>
      <c r="K30" s="5"/>
      <c r="L30" s="1"/>
      <c r="M30" s="50"/>
      <c r="N30" s="50"/>
      <c r="O30" s="230"/>
      <c r="P30" s="3"/>
    </row>
    <row r="31" spans="1:15" ht="18.75">
      <c r="A31" s="50"/>
      <c r="B31" s="186" t="s">
        <v>13</v>
      </c>
      <c r="C31" s="187"/>
      <c r="D31" s="187"/>
      <c r="E31" s="187"/>
      <c r="F31" s="187"/>
      <c r="G31" s="190"/>
      <c r="H31" s="11"/>
      <c r="I31" s="263">
        <f>SUM(I24:I30)</f>
        <v>14000</v>
      </c>
      <c r="J31" s="263">
        <f>SUM(J24:J30)</f>
        <v>56250</v>
      </c>
      <c r="K31" s="5"/>
      <c r="L31" s="1"/>
      <c r="M31" s="50"/>
      <c r="N31" s="50"/>
      <c r="O31" s="50"/>
    </row>
    <row r="32" spans="1:16" ht="18.75">
      <c r="A32" s="50"/>
      <c r="B32" s="173"/>
      <c r="C32" s="173"/>
      <c r="D32" s="173"/>
      <c r="E32" s="173"/>
      <c r="F32" s="173"/>
      <c r="G32" s="191"/>
      <c r="H32" s="12"/>
      <c r="I32" s="262"/>
      <c r="J32" s="262"/>
      <c r="K32" s="5"/>
      <c r="L32" s="1"/>
      <c r="M32" s="50"/>
      <c r="N32" s="50"/>
      <c r="O32" s="230"/>
      <c r="P32" s="3"/>
    </row>
    <row r="33" spans="1:15" ht="18.75">
      <c r="A33" s="50"/>
      <c r="B33" s="49"/>
      <c r="C33" s="173"/>
      <c r="D33" s="173"/>
      <c r="E33" s="173"/>
      <c r="F33" s="173"/>
      <c r="G33" s="192" t="s">
        <v>4</v>
      </c>
      <c r="H33" s="12"/>
      <c r="I33" s="262"/>
      <c r="J33" s="262"/>
      <c r="K33" s="5"/>
      <c r="L33" s="1"/>
      <c r="M33" s="50"/>
      <c r="N33" s="50"/>
      <c r="O33" s="50"/>
    </row>
    <row r="34" spans="1:16" ht="18.75">
      <c r="A34" s="50"/>
      <c r="B34" s="189" t="s">
        <v>170</v>
      </c>
      <c r="C34" s="173"/>
      <c r="D34" s="173"/>
      <c r="E34" s="173"/>
      <c r="F34" s="173"/>
      <c r="G34" s="193" t="s">
        <v>14</v>
      </c>
      <c r="H34" s="12"/>
      <c r="I34" s="262"/>
      <c r="J34" s="262"/>
      <c r="K34" s="5"/>
      <c r="L34" s="1"/>
      <c r="M34" s="50"/>
      <c r="N34" s="50"/>
      <c r="O34" s="230"/>
      <c r="P34" s="3"/>
    </row>
    <row r="35" spans="1:16" ht="18.75">
      <c r="A35" s="50"/>
      <c r="B35" s="49" t="s">
        <v>10</v>
      </c>
      <c r="C35" s="173"/>
      <c r="D35" s="173"/>
      <c r="E35" s="173"/>
      <c r="F35" s="173"/>
      <c r="G35" s="264">
        <f>F25/25*0.1</f>
        <v>4500</v>
      </c>
      <c r="H35" s="134">
        <v>1</v>
      </c>
      <c r="I35" s="262">
        <f>G35*(1-H35)</f>
        <v>0</v>
      </c>
      <c r="J35" s="262">
        <f>G35*H35</f>
        <v>4500</v>
      </c>
      <c r="K35" s="5"/>
      <c r="L35" s="1"/>
      <c r="M35" s="50"/>
      <c r="N35" s="50"/>
      <c r="O35" s="50"/>
      <c r="P35" s="3"/>
    </row>
    <row r="36" spans="1:16" ht="18.75">
      <c r="A36" s="50"/>
      <c r="B36" s="49" t="s">
        <v>15</v>
      </c>
      <c r="C36" s="173"/>
      <c r="D36" s="173"/>
      <c r="E36" s="173"/>
      <c r="F36" s="173"/>
      <c r="G36" s="264">
        <v>0</v>
      </c>
      <c r="H36" s="134">
        <v>0</v>
      </c>
      <c r="I36" s="262">
        <f>G36*(1-H36)</f>
        <v>0</v>
      </c>
      <c r="J36" s="262">
        <f>G36*H36</f>
        <v>0</v>
      </c>
      <c r="K36" s="5"/>
      <c r="L36" s="1"/>
      <c r="M36" s="50"/>
      <c r="N36" s="50"/>
      <c r="O36" s="50"/>
      <c r="P36" s="3"/>
    </row>
    <row r="37" spans="1:16" ht="18.75">
      <c r="A37" s="50"/>
      <c r="B37" s="49" t="s">
        <v>16</v>
      </c>
      <c r="C37" s="173"/>
      <c r="D37" s="173"/>
      <c r="E37" s="173"/>
      <c r="F37" s="173"/>
      <c r="G37" s="264">
        <v>28000</v>
      </c>
      <c r="H37" s="134">
        <v>0</v>
      </c>
      <c r="I37" s="262">
        <f>G37*(1-H37)</f>
        <v>28000</v>
      </c>
      <c r="J37" s="262">
        <f>G37*H37</f>
        <v>0</v>
      </c>
      <c r="K37" s="5"/>
      <c r="L37" s="1"/>
      <c r="M37" s="50"/>
      <c r="N37" s="50"/>
      <c r="O37" s="50"/>
      <c r="P37" s="3"/>
    </row>
    <row r="38" spans="1:16" ht="18.75">
      <c r="A38" s="50"/>
      <c r="B38" s="49" t="s">
        <v>17</v>
      </c>
      <c r="C38" s="173"/>
      <c r="D38" s="173"/>
      <c r="E38" s="173"/>
      <c r="F38" s="173"/>
      <c r="G38" s="264">
        <v>0</v>
      </c>
      <c r="H38" s="134">
        <v>0</v>
      </c>
      <c r="I38" s="262">
        <f>G38*(1-H38)</f>
        <v>0</v>
      </c>
      <c r="J38" s="262">
        <f>G38*H38</f>
        <v>0</v>
      </c>
      <c r="K38" s="5"/>
      <c r="L38" s="1"/>
      <c r="M38" s="50"/>
      <c r="N38" s="50"/>
      <c r="O38" s="50"/>
      <c r="P38" s="3"/>
    </row>
    <row r="39" spans="1:16" ht="18.75">
      <c r="A39" s="50"/>
      <c r="B39" s="49" t="s">
        <v>18</v>
      </c>
      <c r="C39" s="173"/>
      <c r="D39" s="173"/>
      <c r="E39" s="173"/>
      <c r="F39" s="173"/>
      <c r="G39" s="264">
        <v>0</v>
      </c>
      <c r="H39" s="134">
        <v>0</v>
      </c>
      <c r="I39" s="262">
        <f>G39*(1-H39)</f>
        <v>0</v>
      </c>
      <c r="J39" s="262">
        <f>G39*H39</f>
        <v>0</v>
      </c>
      <c r="K39" s="5"/>
      <c r="L39" s="1"/>
      <c r="M39" s="50"/>
      <c r="N39" s="50"/>
      <c r="O39" s="50"/>
      <c r="P39" s="3"/>
    </row>
    <row r="40" spans="1:16" ht="18.75">
      <c r="A40" s="50"/>
      <c r="B40" s="173"/>
      <c r="C40" s="173"/>
      <c r="D40" s="173"/>
      <c r="E40" s="173"/>
      <c r="F40" s="173"/>
      <c r="G40" s="191"/>
      <c r="H40" s="51"/>
      <c r="I40" s="262"/>
      <c r="J40" s="262"/>
      <c r="K40" s="5"/>
      <c r="L40" s="1"/>
      <c r="M40" s="50"/>
      <c r="N40" s="50"/>
      <c r="O40" s="50"/>
      <c r="P40" s="3"/>
    </row>
    <row r="41" spans="1:16" ht="18.75">
      <c r="A41" s="50"/>
      <c r="B41" s="173"/>
      <c r="C41" s="173"/>
      <c r="D41" s="173"/>
      <c r="E41" s="173"/>
      <c r="F41" s="173"/>
      <c r="G41" s="192" t="s">
        <v>4</v>
      </c>
      <c r="H41" s="12"/>
      <c r="I41" s="262"/>
      <c r="J41" s="262"/>
      <c r="K41" s="5"/>
      <c r="L41" s="1"/>
      <c r="M41" s="50"/>
      <c r="N41" s="50"/>
      <c r="O41" s="50"/>
      <c r="P41" s="3"/>
    </row>
    <row r="42" spans="1:16" ht="18.75">
      <c r="A42" s="50"/>
      <c r="B42" s="189" t="s">
        <v>171</v>
      </c>
      <c r="C42" s="173"/>
      <c r="D42" s="173"/>
      <c r="E42" s="173"/>
      <c r="F42" s="173"/>
      <c r="G42" s="193" t="s">
        <v>19</v>
      </c>
      <c r="H42" s="12"/>
      <c r="I42" s="262"/>
      <c r="J42" s="262"/>
      <c r="K42" s="5"/>
      <c r="L42" s="1"/>
      <c r="M42" s="50"/>
      <c r="N42" s="50"/>
      <c r="O42" s="50"/>
      <c r="P42" s="3"/>
    </row>
    <row r="43" spans="1:15" ht="18.75">
      <c r="A43" s="50"/>
      <c r="B43" s="49" t="s">
        <v>10</v>
      </c>
      <c r="C43" s="173"/>
      <c r="D43" s="173"/>
      <c r="E43" s="173"/>
      <c r="F43" s="173"/>
      <c r="G43" s="264">
        <f>2.5*I11</f>
        <v>6250</v>
      </c>
      <c r="H43" s="134">
        <v>1</v>
      </c>
      <c r="I43" s="262">
        <f aca="true" t="shared" si="3" ref="I43:I48">G43*(1-H43)</f>
        <v>0</v>
      </c>
      <c r="J43" s="262">
        <f aca="true" t="shared" si="4" ref="J43:J48">G43*H43</f>
        <v>6250</v>
      </c>
      <c r="K43" s="5"/>
      <c r="L43" s="1"/>
      <c r="M43" s="50"/>
      <c r="N43" s="50"/>
      <c r="O43" s="50"/>
    </row>
    <row r="44" spans="1:15" ht="18.75">
      <c r="A44" s="50"/>
      <c r="B44" s="49" t="s">
        <v>15</v>
      </c>
      <c r="C44" s="173"/>
      <c r="D44" s="173"/>
      <c r="E44" s="173"/>
      <c r="F44" s="173"/>
      <c r="G44" s="264">
        <v>0</v>
      </c>
      <c r="H44" s="134">
        <v>0</v>
      </c>
      <c r="I44" s="262">
        <f t="shared" si="3"/>
        <v>0</v>
      </c>
      <c r="J44" s="262">
        <f t="shared" si="4"/>
        <v>0</v>
      </c>
      <c r="K44" s="5"/>
      <c r="L44" s="1"/>
      <c r="M44" s="50"/>
      <c r="N44" s="50"/>
      <c r="O44" s="50"/>
    </row>
    <row r="45" spans="1:16" ht="18.75">
      <c r="A45" s="50"/>
      <c r="B45" s="49" t="s">
        <v>16</v>
      </c>
      <c r="C45" s="173"/>
      <c r="D45" s="173"/>
      <c r="E45" s="173"/>
      <c r="F45" s="173"/>
      <c r="G45" s="264">
        <v>2250</v>
      </c>
      <c r="H45" s="134">
        <v>0</v>
      </c>
      <c r="I45" s="262">
        <f t="shared" si="3"/>
        <v>2250</v>
      </c>
      <c r="J45" s="262">
        <f t="shared" si="4"/>
        <v>0</v>
      </c>
      <c r="K45" s="5"/>
      <c r="L45" s="1"/>
      <c r="M45" s="50"/>
      <c r="N45" s="50"/>
      <c r="O45" s="230"/>
      <c r="P45" s="3"/>
    </row>
    <row r="46" spans="1:16" ht="18.75">
      <c r="A46" s="50"/>
      <c r="B46" s="49" t="s">
        <v>17</v>
      </c>
      <c r="C46" s="173"/>
      <c r="D46" s="173"/>
      <c r="E46" s="173"/>
      <c r="F46" s="173"/>
      <c r="G46" s="264">
        <v>0</v>
      </c>
      <c r="H46" s="134">
        <v>0</v>
      </c>
      <c r="I46" s="262">
        <f t="shared" si="3"/>
        <v>0</v>
      </c>
      <c r="J46" s="262">
        <f t="shared" si="4"/>
        <v>0</v>
      </c>
      <c r="K46" s="5"/>
      <c r="L46" s="1"/>
      <c r="M46" s="50"/>
      <c r="N46" s="50"/>
      <c r="O46" s="50"/>
      <c r="P46" s="3"/>
    </row>
    <row r="47" spans="1:16" ht="18.75">
      <c r="A47" s="50"/>
      <c r="B47" s="49" t="s">
        <v>12</v>
      </c>
      <c r="C47" s="173"/>
      <c r="D47" s="173"/>
      <c r="E47" s="173"/>
      <c r="F47" s="173"/>
      <c r="G47" s="264">
        <v>0</v>
      </c>
      <c r="H47" s="134">
        <v>0</v>
      </c>
      <c r="I47" s="262">
        <f t="shared" si="3"/>
        <v>0</v>
      </c>
      <c r="J47" s="262">
        <f t="shared" si="4"/>
        <v>0</v>
      </c>
      <c r="K47" s="5"/>
      <c r="L47" s="1"/>
      <c r="M47" s="50"/>
      <c r="N47" s="50"/>
      <c r="O47" s="50"/>
      <c r="P47" s="3"/>
    </row>
    <row r="48" spans="1:16" ht="18.75">
      <c r="A48" s="50"/>
      <c r="B48" s="49" t="s">
        <v>20</v>
      </c>
      <c r="C48" s="173"/>
      <c r="D48" s="173"/>
      <c r="E48" s="173"/>
      <c r="F48" s="173"/>
      <c r="G48" s="264">
        <v>0</v>
      </c>
      <c r="H48" s="134">
        <v>0</v>
      </c>
      <c r="I48" s="262">
        <f t="shared" si="3"/>
        <v>0</v>
      </c>
      <c r="J48" s="262">
        <f t="shared" si="4"/>
        <v>0</v>
      </c>
      <c r="K48" s="5"/>
      <c r="L48" s="1"/>
      <c r="M48" s="50"/>
      <c r="N48" s="50"/>
      <c r="O48" s="50"/>
      <c r="P48" s="3"/>
    </row>
    <row r="49" spans="1:15" ht="18.75">
      <c r="A49" s="50"/>
      <c r="B49" s="173"/>
      <c r="C49" s="173"/>
      <c r="D49" s="173"/>
      <c r="E49" s="173"/>
      <c r="F49" s="173"/>
      <c r="G49" s="191"/>
      <c r="H49" s="12"/>
      <c r="I49" s="262"/>
      <c r="J49" s="262"/>
      <c r="K49" s="5"/>
      <c r="L49" s="1"/>
      <c r="M49" s="50"/>
      <c r="N49" s="50"/>
      <c r="O49" s="50"/>
    </row>
    <row r="50" spans="1:15" ht="18.75">
      <c r="A50" s="50"/>
      <c r="B50" s="173"/>
      <c r="C50" s="173"/>
      <c r="D50" s="173"/>
      <c r="E50" s="173"/>
      <c r="F50" s="173"/>
      <c r="G50" s="192" t="s">
        <v>4</v>
      </c>
      <c r="H50" s="12"/>
      <c r="I50" s="262"/>
      <c r="J50" s="262"/>
      <c r="K50" s="5"/>
      <c r="L50" s="1"/>
      <c r="M50" s="50"/>
      <c r="N50" s="50"/>
      <c r="O50" s="50"/>
    </row>
    <row r="51" spans="1:16" ht="18.75">
      <c r="A51" s="50"/>
      <c r="B51" s="189" t="s">
        <v>172</v>
      </c>
      <c r="C51" s="173"/>
      <c r="D51" s="173"/>
      <c r="E51" s="173"/>
      <c r="F51" s="173"/>
      <c r="G51" s="193" t="s">
        <v>21</v>
      </c>
      <c r="H51" s="12"/>
      <c r="I51" s="262"/>
      <c r="J51" s="262"/>
      <c r="K51" s="5"/>
      <c r="L51" s="1"/>
      <c r="M51" s="50"/>
      <c r="N51" s="50"/>
      <c r="O51" s="230"/>
      <c r="P51" s="3"/>
    </row>
    <row r="52" spans="1:15" ht="18.75">
      <c r="A52" s="50"/>
      <c r="B52" s="49" t="s">
        <v>10</v>
      </c>
      <c r="C52" s="173"/>
      <c r="D52" s="173"/>
      <c r="E52" s="173"/>
      <c r="F52" s="173"/>
      <c r="G52" s="264">
        <v>1500</v>
      </c>
      <c r="H52" s="134">
        <v>1</v>
      </c>
      <c r="I52" s="262">
        <f aca="true" t="shared" si="5" ref="I52:I57">G52*(1-H52)</f>
        <v>0</v>
      </c>
      <c r="J52" s="262">
        <f aca="true" t="shared" si="6" ref="J52:J57">G52*H52</f>
        <v>1500</v>
      </c>
      <c r="K52" s="5"/>
      <c r="L52" s="1"/>
      <c r="M52" s="50"/>
      <c r="N52" s="50"/>
      <c r="O52" s="50"/>
    </row>
    <row r="53" spans="1:18" ht="18.75">
      <c r="A53" s="50"/>
      <c r="B53" s="49" t="s">
        <v>15</v>
      </c>
      <c r="C53" s="173"/>
      <c r="D53" s="173"/>
      <c r="E53" s="173"/>
      <c r="F53" s="173"/>
      <c r="G53" s="264">
        <v>0</v>
      </c>
      <c r="H53" s="134">
        <v>0</v>
      </c>
      <c r="I53" s="262">
        <f t="shared" si="5"/>
        <v>0</v>
      </c>
      <c r="J53" s="262">
        <f t="shared" si="6"/>
        <v>0</v>
      </c>
      <c r="K53" s="5"/>
      <c r="L53" s="1"/>
      <c r="M53" s="50"/>
      <c r="N53" s="50"/>
      <c r="O53" s="231"/>
      <c r="P53" s="2"/>
      <c r="Q53" s="2"/>
      <c r="R53" s="2"/>
    </row>
    <row r="54" spans="1:18" ht="18.75">
      <c r="A54" s="50"/>
      <c r="B54" s="49" t="s">
        <v>16</v>
      </c>
      <c r="C54" s="173"/>
      <c r="D54" s="173"/>
      <c r="E54" s="173"/>
      <c r="F54" s="173"/>
      <c r="G54" s="264">
        <v>900</v>
      </c>
      <c r="H54" s="134">
        <v>0</v>
      </c>
      <c r="I54" s="262">
        <f t="shared" si="5"/>
        <v>900</v>
      </c>
      <c r="J54" s="262">
        <f t="shared" si="6"/>
        <v>0</v>
      </c>
      <c r="K54" s="5"/>
      <c r="L54" s="1"/>
      <c r="M54" s="50"/>
      <c r="N54" s="50"/>
      <c r="O54" s="231"/>
      <c r="P54" s="2"/>
      <c r="Q54" s="2"/>
      <c r="R54" s="2"/>
    </row>
    <row r="55" spans="1:18" ht="18.75">
      <c r="A55" s="50"/>
      <c r="B55" s="49" t="s">
        <v>17</v>
      </c>
      <c r="C55" s="173"/>
      <c r="D55" s="173"/>
      <c r="E55" s="173"/>
      <c r="F55" s="173"/>
      <c r="G55" s="264">
        <v>0</v>
      </c>
      <c r="H55" s="134">
        <v>0</v>
      </c>
      <c r="I55" s="262">
        <f t="shared" si="5"/>
        <v>0</v>
      </c>
      <c r="J55" s="262">
        <f t="shared" si="6"/>
        <v>0</v>
      </c>
      <c r="K55" s="5"/>
      <c r="L55" s="1"/>
      <c r="M55" s="50"/>
      <c r="N55" s="50"/>
      <c r="O55" s="231"/>
      <c r="P55" s="2"/>
      <c r="Q55" s="2"/>
      <c r="R55" s="2"/>
    </row>
    <row r="56" spans="1:18" ht="18.75">
      <c r="A56" s="50"/>
      <c r="B56" s="49" t="s">
        <v>12</v>
      </c>
      <c r="C56" s="173"/>
      <c r="D56" s="173"/>
      <c r="E56" s="173"/>
      <c r="F56" s="173"/>
      <c r="G56" s="264">
        <v>0</v>
      </c>
      <c r="H56" s="134">
        <v>0</v>
      </c>
      <c r="I56" s="262">
        <f t="shared" si="5"/>
        <v>0</v>
      </c>
      <c r="J56" s="262">
        <f t="shared" si="6"/>
        <v>0</v>
      </c>
      <c r="K56" s="5"/>
      <c r="L56" s="1"/>
      <c r="M56" s="50"/>
      <c r="N56" s="50"/>
      <c r="O56" s="231"/>
      <c r="P56" s="2"/>
      <c r="Q56" s="2"/>
      <c r="R56" s="2"/>
    </row>
    <row r="57" spans="1:18" ht="18.75">
      <c r="A57" s="50"/>
      <c r="B57" s="49" t="s">
        <v>194</v>
      </c>
      <c r="C57" s="173"/>
      <c r="D57" s="173"/>
      <c r="E57" s="173"/>
      <c r="F57" s="173"/>
      <c r="G57" s="264">
        <v>0</v>
      </c>
      <c r="H57" s="134">
        <v>0</v>
      </c>
      <c r="I57" s="262">
        <f t="shared" si="5"/>
        <v>0</v>
      </c>
      <c r="J57" s="262">
        <f t="shared" si="6"/>
        <v>0</v>
      </c>
      <c r="K57" s="5"/>
      <c r="L57" s="1"/>
      <c r="M57" s="50"/>
      <c r="N57" s="50"/>
      <c r="O57" s="231"/>
      <c r="P57" s="2"/>
      <c r="Q57" s="2"/>
      <c r="R57" s="2"/>
    </row>
    <row r="58" spans="1:18" ht="18.75">
      <c r="A58" s="50"/>
      <c r="B58" s="173"/>
      <c r="C58" s="173"/>
      <c r="D58" s="173"/>
      <c r="E58" s="173"/>
      <c r="F58" s="173"/>
      <c r="G58" s="12"/>
      <c r="H58" s="47"/>
      <c r="I58" s="262"/>
      <c r="J58" s="262"/>
      <c r="K58" s="5"/>
      <c r="L58" s="1"/>
      <c r="M58" s="50"/>
      <c r="N58" s="50"/>
      <c r="O58" s="231"/>
      <c r="P58" s="2"/>
      <c r="Q58" s="2"/>
      <c r="R58" s="2"/>
    </row>
    <row r="59" spans="1:18" ht="18.75">
      <c r="A59" s="50"/>
      <c r="B59" s="175"/>
      <c r="C59" s="173"/>
      <c r="D59" s="167"/>
      <c r="E59" s="173"/>
      <c r="F59" s="173"/>
      <c r="G59" s="10"/>
      <c r="H59" s="48" t="s">
        <v>127</v>
      </c>
      <c r="I59" s="277">
        <f>SUM(I31:I58)</f>
        <v>45150</v>
      </c>
      <c r="J59" s="276">
        <f>SUM(J31:J58)</f>
        <v>68500</v>
      </c>
      <c r="K59" s="5"/>
      <c r="L59" s="1"/>
      <c r="M59" s="50"/>
      <c r="N59" s="50"/>
      <c r="O59" s="231"/>
      <c r="P59" s="2"/>
      <c r="Q59" s="2"/>
      <c r="R59" s="2"/>
    </row>
    <row r="60" spans="1:18" ht="15.75">
      <c r="A60" s="50"/>
      <c r="B60" s="6" t="s">
        <v>126</v>
      </c>
      <c r="C60" s="7"/>
      <c r="D60" s="7"/>
      <c r="E60" s="7"/>
      <c r="F60" s="7"/>
      <c r="G60" s="7"/>
      <c r="H60" s="7"/>
      <c r="I60" s="48" t="s">
        <v>221</v>
      </c>
      <c r="J60" s="278">
        <f>I59+J59</f>
        <v>113650</v>
      </c>
      <c r="K60" s="1"/>
      <c r="L60" s="1"/>
      <c r="M60" s="50"/>
      <c r="N60" s="50"/>
      <c r="O60" s="231"/>
      <c r="P60" s="2"/>
      <c r="Q60" s="2"/>
      <c r="R60" s="2"/>
    </row>
    <row r="61" spans="1:15" ht="15.75">
      <c r="A61" s="50"/>
      <c r="B61" s="7"/>
      <c r="C61" s="7"/>
      <c r="D61" s="7"/>
      <c r="E61" s="7"/>
      <c r="F61" s="7"/>
      <c r="G61" s="7"/>
      <c r="H61" s="48" t="s">
        <v>222</v>
      </c>
      <c r="I61" s="279">
        <f>I59/J60</f>
        <v>0.39727232732072154</v>
      </c>
      <c r="J61" s="279">
        <f>J59/J60</f>
        <v>0.6027276726792785</v>
      </c>
      <c r="K61" s="1"/>
      <c r="L61" s="1"/>
      <c r="M61" s="50"/>
      <c r="N61" s="50"/>
      <c r="O61" s="50"/>
    </row>
    <row r="62" spans="1:15" ht="15.75">
      <c r="A62" s="50"/>
      <c r="B62" s="30"/>
      <c r="C62" s="7"/>
      <c r="D62" s="7"/>
      <c r="E62" s="7"/>
      <c r="F62" s="7"/>
      <c r="G62" s="7"/>
      <c r="H62" s="7"/>
      <c r="I62" s="7"/>
      <c r="J62" s="7"/>
      <c r="K62" s="1"/>
      <c r="L62" s="1"/>
      <c r="M62" s="50"/>
      <c r="N62" s="50"/>
      <c r="O62" s="50"/>
    </row>
    <row r="63" spans="1:15" ht="15.75">
      <c r="A63" s="50"/>
      <c r="B63" s="6"/>
      <c r="C63" s="7"/>
      <c r="D63" s="7"/>
      <c r="E63" s="7"/>
      <c r="F63" s="7"/>
      <c r="G63" s="7"/>
      <c r="H63" s="7"/>
      <c r="I63" s="7"/>
      <c r="J63" s="7"/>
      <c r="K63" s="1"/>
      <c r="L63" s="1"/>
      <c r="M63" s="50"/>
      <c r="N63" s="50"/>
      <c r="O63" s="50"/>
    </row>
    <row r="64" spans="1:15" ht="15.75">
      <c r="A64" s="50"/>
      <c r="B64" s="6"/>
      <c r="C64" s="7"/>
      <c r="D64" s="7"/>
      <c r="E64" s="7"/>
      <c r="F64" s="7"/>
      <c r="G64" s="7"/>
      <c r="H64" s="7"/>
      <c r="I64" s="7"/>
      <c r="J64" s="7"/>
      <c r="K64" s="1"/>
      <c r="L64" s="1"/>
      <c r="M64" s="50"/>
      <c r="N64" s="50"/>
      <c r="O64" s="50"/>
    </row>
    <row r="65" spans="1:15" ht="15.75">
      <c r="A65" s="50"/>
      <c r="B65" s="6"/>
      <c r="C65" s="7"/>
      <c r="D65" s="7"/>
      <c r="E65" s="7"/>
      <c r="F65" s="7"/>
      <c r="G65" s="7"/>
      <c r="H65" s="7"/>
      <c r="I65" s="7"/>
      <c r="J65" s="7"/>
      <c r="K65" s="1"/>
      <c r="L65" s="1"/>
      <c r="M65" s="50"/>
      <c r="N65" s="50"/>
      <c r="O65" s="50"/>
    </row>
    <row r="66" spans="1:15" ht="15.75">
      <c r="A66" s="50"/>
      <c r="B66" s="6"/>
      <c r="C66" s="7"/>
      <c r="D66" s="7"/>
      <c r="E66" s="7"/>
      <c r="F66" s="7"/>
      <c r="G66" s="7"/>
      <c r="H66" s="7"/>
      <c r="I66" s="7"/>
      <c r="J66" s="7"/>
      <c r="K66" s="1"/>
      <c r="L66" s="1"/>
      <c r="M66" s="50"/>
      <c r="N66" s="50"/>
      <c r="O66" s="50"/>
    </row>
    <row r="67" spans="1:15" ht="15.75">
      <c r="A67" s="50"/>
      <c r="B67" s="6"/>
      <c r="C67" s="7"/>
      <c r="D67" s="7"/>
      <c r="E67" s="7"/>
      <c r="F67" s="7"/>
      <c r="G67" s="7"/>
      <c r="H67" s="7"/>
      <c r="I67" s="7"/>
      <c r="J67" s="7"/>
      <c r="K67" s="1"/>
      <c r="L67" s="1"/>
      <c r="M67" s="50"/>
      <c r="N67" s="50"/>
      <c r="O67" s="50"/>
    </row>
    <row r="68" spans="1:15" ht="15.75">
      <c r="A68" s="50"/>
      <c r="B68" s="50"/>
      <c r="C68" s="50"/>
      <c r="D68" s="50"/>
      <c r="E68" s="50"/>
      <c r="F68" s="50"/>
      <c r="G68" s="50"/>
      <c r="H68" s="50"/>
      <c r="I68" s="50"/>
      <c r="J68" s="50"/>
      <c r="K68" s="1"/>
      <c r="L68" s="1"/>
      <c r="M68" s="50"/>
      <c r="N68" s="50"/>
      <c r="O68" s="50"/>
    </row>
    <row r="69" spans="1:15" ht="15.75">
      <c r="A69" s="50"/>
      <c r="B69" s="50"/>
      <c r="C69" s="50"/>
      <c r="D69" s="50"/>
      <c r="E69" s="50"/>
      <c r="F69" s="50"/>
      <c r="G69" s="50"/>
      <c r="H69" s="50"/>
      <c r="I69" s="50"/>
      <c r="J69" s="50"/>
      <c r="K69" s="1"/>
      <c r="L69" s="1"/>
      <c r="M69" s="50"/>
      <c r="N69" s="50"/>
      <c r="O69" s="50"/>
    </row>
    <row r="70" spans="1:15" ht="15.75">
      <c r="A70" s="50"/>
      <c r="B70" s="50"/>
      <c r="C70" s="50"/>
      <c r="D70" s="50"/>
      <c r="E70" s="50"/>
      <c r="F70" s="50"/>
      <c r="G70" s="50"/>
      <c r="H70" s="50"/>
      <c r="I70" s="50"/>
      <c r="J70" s="50"/>
      <c r="K70" s="1"/>
      <c r="L70" s="1"/>
      <c r="M70" s="50"/>
      <c r="N70" s="50"/>
      <c r="O70" s="50"/>
    </row>
    <row r="71" spans="1:15" ht="15.75">
      <c r="A71" s="50"/>
      <c r="B71" s="50"/>
      <c r="C71" s="50"/>
      <c r="D71" s="50"/>
      <c r="E71" s="50"/>
      <c r="F71" s="50"/>
      <c r="G71" s="50"/>
      <c r="H71" s="50"/>
      <c r="I71" s="50"/>
      <c r="J71" s="50"/>
      <c r="K71" s="1"/>
      <c r="L71" s="1"/>
      <c r="M71" s="50"/>
      <c r="N71" s="50"/>
      <c r="O71" s="50"/>
    </row>
    <row r="72" spans="1:15" ht="15.75">
      <c r="A72" s="50"/>
      <c r="B72" s="50"/>
      <c r="C72" s="50"/>
      <c r="D72" s="50"/>
      <c r="E72" s="50"/>
      <c r="F72" s="50"/>
      <c r="G72" s="50"/>
      <c r="H72" s="50"/>
      <c r="I72" s="50"/>
      <c r="J72" s="50"/>
      <c r="K72" s="1"/>
      <c r="L72" s="1"/>
      <c r="M72" s="50"/>
      <c r="N72" s="50"/>
      <c r="O72" s="50"/>
    </row>
    <row r="73" spans="1:15" ht="15.75">
      <c r="A73" s="50"/>
      <c r="B73" s="50"/>
      <c r="C73" s="50"/>
      <c r="D73" s="50"/>
      <c r="E73" s="50"/>
      <c r="F73" s="50"/>
      <c r="G73" s="50"/>
      <c r="H73" s="50"/>
      <c r="I73" s="50"/>
      <c r="J73" s="50"/>
      <c r="K73" s="1"/>
      <c r="L73" s="1"/>
      <c r="M73" s="50"/>
      <c r="N73" s="50"/>
      <c r="O73" s="50"/>
    </row>
    <row r="74" spans="1:15" ht="15.75">
      <c r="A74" s="50"/>
      <c r="B74" s="50"/>
      <c r="C74" s="50"/>
      <c r="D74" s="50"/>
      <c r="E74" s="50"/>
      <c r="F74" s="50"/>
      <c r="G74" s="50"/>
      <c r="H74" s="50"/>
      <c r="I74" s="50"/>
      <c r="J74" s="50"/>
      <c r="K74" s="1"/>
      <c r="L74" s="1"/>
      <c r="M74" s="50"/>
      <c r="N74" s="50"/>
      <c r="O74" s="50"/>
    </row>
    <row r="75" spans="1:15" ht="15.75">
      <c r="A75" s="50"/>
      <c r="B75" s="50"/>
      <c r="C75" s="50"/>
      <c r="D75" s="50"/>
      <c r="E75" s="50"/>
      <c r="F75" s="50"/>
      <c r="G75" s="50"/>
      <c r="H75" s="50"/>
      <c r="I75" s="50"/>
      <c r="J75" s="50"/>
      <c r="K75" s="1"/>
      <c r="L75" s="1"/>
      <c r="M75" s="50"/>
      <c r="N75" s="50"/>
      <c r="O75" s="50"/>
    </row>
    <row r="76" spans="1:15" ht="15.75">
      <c r="A76" s="50"/>
      <c r="B76" s="50"/>
      <c r="C76" s="50"/>
      <c r="D76" s="50"/>
      <c r="E76" s="50"/>
      <c r="F76" s="50"/>
      <c r="G76" s="50"/>
      <c r="H76" s="50"/>
      <c r="I76" s="50"/>
      <c r="J76" s="50"/>
      <c r="K76" s="1"/>
      <c r="L76" s="1"/>
      <c r="M76" s="50"/>
      <c r="N76" s="50"/>
      <c r="O76" s="50"/>
    </row>
    <row r="77" spans="1:15" ht="15.75">
      <c r="A77" s="50"/>
      <c r="B77" s="50"/>
      <c r="C77" s="50"/>
      <c r="D77" s="50"/>
      <c r="E77" s="50"/>
      <c r="F77" s="50"/>
      <c r="G77" s="50"/>
      <c r="H77" s="50"/>
      <c r="I77" s="50"/>
      <c r="J77" s="50"/>
      <c r="K77" s="1"/>
      <c r="L77" s="1"/>
      <c r="M77" s="50"/>
      <c r="N77" s="50"/>
      <c r="O77" s="50"/>
    </row>
    <row r="78" spans="1:15" ht="15.75">
      <c r="A78" s="50"/>
      <c r="B78" s="50"/>
      <c r="C78" s="50"/>
      <c r="D78" s="50"/>
      <c r="E78" s="50"/>
      <c r="F78" s="50"/>
      <c r="G78" s="50"/>
      <c r="H78" s="50"/>
      <c r="I78" s="50"/>
      <c r="J78" s="50"/>
      <c r="K78" s="1"/>
      <c r="L78" s="1"/>
      <c r="M78" s="50"/>
      <c r="N78" s="50"/>
      <c r="O78" s="50"/>
    </row>
    <row r="79" spans="1:15" ht="15.75">
      <c r="A79" s="50"/>
      <c r="B79" s="50"/>
      <c r="C79" s="50"/>
      <c r="D79" s="50"/>
      <c r="E79" s="50"/>
      <c r="F79" s="50"/>
      <c r="G79" s="50"/>
      <c r="H79" s="50"/>
      <c r="I79" s="50"/>
      <c r="J79" s="50"/>
      <c r="K79" s="50"/>
      <c r="L79" s="1"/>
      <c r="M79" s="50"/>
      <c r="N79" s="50"/>
      <c r="O79" s="50"/>
    </row>
    <row r="80" spans="1:15" ht="15.75">
      <c r="A80" s="50"/>
      <c r="B80" s="50"/>
      <c r="C80" s="50"/>
      <c r="D80" s="50"/>
      <c r="E80" s="50"/>
      <c r="F80" s="50"/>
      <c r="G80" s="50"/>
      <c r="H80" s="50"/>
      <c r="I80" s="50"/>
      <c r="J80" s="50"/>
      <c r="K80" s="50"/>
      <c r="L80" s="1"/>
      <c r="M80" s="50"/>
      <c r="N80" s="50"/>
      <c r="O80" s="50"/>
    </row>
    <row r="81" spans="1:15" ht="15.75">
      <c r="A81" s="50"/>
      <c r="B81" s="50"/>
      <c r="C81" s="50"/>
      <c r="D81" s="50"/>
      <c r="E81" s="50"/>
      <c r="F81" s="50"/>
      <c r="G81" s="50"/>
      <c r="H81" s="50"/>
      <c r="I81" s="50"/>
      <c r="J81" s="50"/>
      <c r="K81" s="50"/>
      <c r="L81" s="1"/>
      <c r="M81" s="50"/>
      <c r="N81" s="50"/>
      <c r="O81" s="50"/>
    </row>
    <row r="82" spans="1:15" ht="15.75">
      <c r="A82" s="50"/>
      <c r="B82" s="50"/>
      <c r="C82" s="50"/>
      <c r="D82" s="50"/>
      <c r="E82" s="50"/>
      <c r="F82" s="50"/>
      <c r="G82" s="50"/>
      <c r="H82" s="50"/>
      <c r="I82" s="50"/>
      <c r="J82" s="50"/>
      <c r="K82" s="50"/>
      <c r="L82" s="1"/>
      <c r="M82" s="50"/>
      <c r="N82" s="50"/>
      <c r="O82" s="50"/>
    </row>
    <row r="83" spans="1:15" ht="15.75">
      <c r="A83" s="50"/>
      <c r="B83" s="50"/>
      <c r="C83" s="50"/>
      <c r="D83" s="50"/>
      <c r="E83" s="50"/>
      <c r="F83" s="50"/>
      <c r="G83" s="50"/>
      <c r="H83" s="50"/>
      <c r="I83" s="50"/>
      <c r="J83" s="50"/>
      <c r="K83" s="50"/>
      <c r="L83" s="1"/>
      <c r="M83" s="50"/>
      <c r="N83" s="50"/>
      <c r="O83" s="50"/>
    </row>
    <row r="84" spans="1:15" ht="15.75">
      <c r="A84" s="50"/>
      <c r="B84" s="50"/>
      <c r="C84" s="50"/>
      <c r="D84" s="50"/>
      <c r="E84" s="50"/>
      <c r="F84" s="50"/>
      <c r="G84" s="50"/>
      <c r="H84" s="50"/>
      <c r="I84" s="50"/>
      <c r="J84" s="50"/>
      <c r="K84" s="50"/>
      <c r="L84" s="1"/>
      <c r="M84" s="50"/>
      <c r="N84" s="50"/>
      <c r="O84" s="50"/>
    </row>
    <row r="85" spans="1:15" ht="15.75">
      <c r="A85" s="50"/>
      <c r="B85" s="50"/>
      <c r="C85" s="50"/>
      <c r="D85" s="50"/>
      <c r="E85" s="50"/>
      <c r="F85" s="50"/>
      <c r="G85" s="50"/>
      <c r="H85" s="50"/>
      <c r="I85" s="50"/>
      <c r="J85" s="50"/>
      <c r="K85" s="50"/>
      <c r="L85" s="1"/>
      <c r="M85" s="50"/>
      <c r="N85" s="50"/>
      <c r="O85" s="50"/>
    </row>
    <row r="86" spans="1:15" ht="15.75">
      <c r="A86" s="50"/>
      <c r="B86" s="50"/>
      <c r="C86" s="50"/>
      <c r="D86" s="50"/>
      <c r="E86" s="50"/>
      <c r="F86" s="50"/>
      <c r="G86" s="50"/>
      <c r="H86" s="50"/>
      <c r="I86" s="50"/>
      <c r="J86" s="50"/>
      <c r="K86" s="50"/>
      <c r="L86" s="1"/>
      <c r="M86" s="50"/>
      <c r="N86" s="50"/>
      <c r="O86" s="50"/>
    </row>
    <row r="87" spans="1:15" ht="15.75">
      <c r="A87" s="50"/>
      <c r="B87" s="50"/>
      <c r="C87" s="50"/>
      <c r="D87" s="50"/>
      <c r="E87" s="50"/>
      <c r="F87" s="50"/>
      <c r="G87" s="50"/>
      <c r="H87" s="50"/>
      <c r="I87" s="50"/>
      <c r="J87" s="50"/>
      <c r="K87" s="50"/>
      <c r="L87" s="1"/>
      <c r="M87" s="50"/>
      <c r="N87" s="50"/>
      <c r="O87" s="50"/>
    </row>
    <row r="88" spans="1:15" ht="15.75">
      <c r="A88" s="50"/>
      <c r="B88" s="50"/>
      <c r="C88" s="50"/>
      <c r="D88" s="50"/>
      <c r="E88" s="50"/>
      <c r="F88" s="50"/>
      <c r="G88" s="50"/>
      <c r="H88" s="50"/>
      <c r="I88" s="50"/>
      <c r="J88" s="50"/>
      <c r="K88" s="50"/>
      <c r="L88" s="1"/>
      <c r="M88" s="50"/>
      <c r="N88" s="50"/>
      <c r="O88" s="50"/>
    </row>
    <row r="89" spans="1:15" ht="15.75">
      <c r="A89" s="50"/>
      <c r="B89" s="50"/>
      <c r="C89" s="50"/>
      <c r="D89" s="50"/>
      <c r="E89" s="50"/>
      <c r="F89" s="50"/>
      <c r="G89" s="50"/>
      <c r="H89" s="50"/>
      <c r="I89" s="50"/>
      <c r="J89" s="50"/>
      <c r="K89" s="50"/>
      <c r="L89" s="1"/>
      <c r="M89" s="50"/>
      <c r="N89" s="50"/>
      <c r="O89" s="50"/>
    </row>
    <row r="90" spans="1:15" ht="15.75">
      <c r="A90" s="50"/>
      <c r="B90" s="50"/>
      <c r="C90" s="50"/>
      <c r="D90" s="50"/>
      <c r="E90" s="50"/>
      <c r="F90" s="50"/>
      <c r="G90" s="50"/>
      <c r="H90" s="50"/>
      <c r="I90" s="50"/>
      <c r="J90" s="50"/>
      <c r="K90" s="50"/>
      <c r="L90" s="1"/>
      <c r="M90" s="50"/>
      <c r="N90" s="50"/>
      <c r="O90" s="50"/>
    </row>
    <row r="91" spans="1:15" ht="15.75">
      <c r="A91" s="50"/>
      <c r="B91" s="50"/>
      <c r="C91" s="50"/>
      <c r="D91" s="50"/>
      <c r="E91" s="50"/>
      <c r="F91" s="50"/>
      <c r="G91" s="50"/>
      <c r="H91" s="50"/>
      <c r="I91" s="50"/>
      <c r="J91" s="50"/>
      <c r="K91" s="50"/>
      <c r="L91" s="1"/>
      <c r="M91" s="50"/>
      <c r="N91" s="50"/>
      <c r="O91" s="50"/>
    </row>
    <row r="92" spans="1:15" ht="15.75">
      <c r="A92" s="50"/>
      <c r="B92" s="50"/>
      <c r="C92" s="50"/>
      <c r="D92" s="50"/>
      <c r="E92" s="50"/>
      <c r="F92" s="50"/>
      <c r="G92" s="50"/>
      <c r="H92" s="50"/>
      <c r="I92" s="50"/>
      <c r="J92" s="50"/>
      <c r="K92" s="50"/>
      <c r="L92" s="1"/>
      <c r="M92" s="50"/>
      <c r="N92" s="50"/>
      <c r="O92" s="50"/>
    </row>
    <row r="93" ht="15.75">
      <c r="L93" s="1"/>
    </row>
    <row r="94" ht="15.75">
      <c r="L94" s="1"/>
    </row>
    <row r="95" ht="15.75">
      <c r="L95" s="1"/>
    </row>
    <row r="96" ht="15.75">
      <c r="L96" s="1"/>
    </row>
    <row r="97" ht="15.75">
      <c r="L97" s="1"/>
    </row>
    <row r="98" ht="15.75">
      <c r="L98" s="1"/>
    </row>
    <row r="99" ht="15.75">
      <c r="L99" s="1"/>
    </row>
    <row r="100" ht="15.75">
      <c r="L100" s="1"/>
    </row>
    <row r="101" ht="15.75">
      <c r="L101" s="1"/>
    </row>
    <row r="102" ht="15.75">
      <c r="L102" s="1"/>
    </row>
    <row r="103" ht="15.75">
      <c r="L103" s="1"/>
    </row>
    <row r="104" ht="15.75">
      <c r="L104" s="1"/>
    </row>
    <row r="105" ht="15.75">
      <c r="L105" s="1"/>
    </row>
    <row r="106" ht="15.75">
      <c r="L106" s="1"/>
    </row>
    <row r="107" ht="15.75">
      <c r="L107" s="1"/>
    </row>
    <row r="108" ht="15.75">
      <c r="L108" s="1"/>
    </row>
    <row r="109" ht="15.75">
      <c r="L109" s="1"/>
    </row>
    <row r="110" ht="15.75">
      <c r="L110" s="1"/>
    </row>
    <row r="111" ht="15.75">
      <c r="L111" s="1"/>
    </row>
    <row r="112" ht="15.75">
      <c r="L112" s="1"/>
    </row>
    <row r="113" ht="15.75">
      <c r="L113" s="1"/>
    </row>
    <row r="114" ht="15.75">
      <c r="L114" s="1"/>
    </row>
    <row r="115" ht="15.75">
      <c r="L115" s="1"/>
    </row>
    <row r="116" ht="15.75">
      <c r="L116" s="1"/>
    </row>
    <row r="117" ht="15.75">
      <c r="L117" s="1"/>
    </row>
    <row r="118" ht="15.75">
      <c r="L118" s="1"/>
    </row>
    <row r="119" ht="15.75">
      <c r="L119" s="1"/>
    </row>
    <row r="120" ht="15.75">
      <c r="L120" s="1"/>
    </row>
    <row r="121" ht="15.75">
      <c r="L121" s="1"/>
    </row>
    <row r="122" ht="15.75">
      <c r="L122" s="1"/>
    </row>
    <row r="123" ht="15.75">
      <c r="L123" s="1"/>
    </row>
    <row r="124" ht="15.75">
      <c r="L124" s="1"/>
    </row>
    <row r="125" ht="15.75">
      <c r="L125" s="1"/>
    </row>
    <row r="126" ht="15.75">
      <c r="L126" s="1"/>
    </row>
    <row r="127" ht="15.75">
      <c r="L127" s="1"/>
    </row>
    <row r="128" ht="15.75">
      <c r="L128" s="1"/>
    </row>
    <row r="129" ht="15.75">
      <c r="L129" s="1"/>
    </row>
    <row r="130" ht="15.75">
      <c r="L130" s="1"/>
    </row>
    <row r="131" ht="15.75">
      <c r="L131" s="1"/>
    </row>
    <row r="132" ht="15.75">
      <c r="L132" s="1"/>
    </row>
    <row r="133" ht="15.75">
      <c r="L133" s="1"/>
    </row>
    <row r="134" ht="15.75">
      <c r="L134" s="1"/>
    </row>
    <row r="135" ht="15.75">
      <c r="L135" s="1"/>
    </row>
    <row r="136" ht="15.75">
      <c r="L136" s="1"/>
    </row>
    <row r="137" ht="15.75">
      <c r="L137" s="1"/>
    </row>
    <row r="138" ht="15.75">
      <c r="L138" s="1"/>
    </row>
    <row r="139" ht="15.75">
      <c r="L139" s="1"/>
    </row>
    <row r="140" ht="15.75">
      <c r="L140" s="1"/>
    </row>
    <row r="141" ht="15.75">
      <c r="L141" s="1"/>
    </row>
    <row r="142" ht="15.75">
      <c r="L142" s="1"/>
    </row>
    <row r="143" ht="15.75">
      <c r="L143" s="1"/>
    </row>
    <row r="144" ht="15.75">
      <c r="L144" s="1"/>
    </row>
    <row r="145" ht="15.75">
      <c r="L145" s="1"/>
    </row>
    <row r="146" ht="15.75">
      <c r="L146" s="1"/>
    </row>
    <row r="147" ht="15.75">
      <c r="L147" s="1"/>
    </row>
    <row r="148" ht="15.75">
      <c r="L148" s="1"/>
    </row>
    <row r="149" ht="15.75">
      <c r="L149" s="1"/>
    </row>
    <row r="150" ht="15.75">
      <c r="L150" s="1"/>
    </row>
    <row r="151" ht="15.75">
      <c r="L151" s="1"/>
    </row>
    <row r="152" ht="15.75">
      <c r="L152" s="1"/>
    </row>
    <row r="153" ht="15.75">
      <c r="L153" s="1"/>
    </row>
    <row r="154" ht="15.75">
      <c r="L154" s="1"/>
    </row>
    <row r="155" ht="15.75">
      <c r="L155" s="1"/>
    </row>
    <row r="156" ht="15.75">
      <c r="L156" s="1"/>
    </row>
    <row r="157" ht="15.75">
      <c r="L157" s="1"/>
    </row>
    <row r="158" ht="15.75">
      <c r="L158" s="1"/>
    </row>
    <row r="159" ht="15.75">
      <c r="L159" s="1"/>
    </row>
    <row r="160" ht="15.75">
      <c r="L160" s="1"/>
    </row>
    <row r="161" ht="15.75">
      <c r="L161" s="1"/>
    </row>
    <row r="162" ht="15.75">
      <c r="L162" s="1"/>
    </row>
    <row r="163" ht="15.75">
      <c r="L163" s="1"/>
    </row>
    <row r="164" ht="15.75">
      <c r="L164" s="1"/>
    </row>
    <row r="165" ht="15.75">
      <c r="L165" s="1"/>
    </row>
    <row r="166" ht="15.75">
      <c r="L166" s="1"/>
    </row>
    <row r="167" ht="15.75">
      <c r="L167" s="1"/>
    </row>
    <row r="168" ht="15.75">
      <c r="L168" s="1"/>
    </row>
    <row r="169" ht="15.75">
      <c r="L169" s="1"/>
    </row>
    <row r="170" ht="15.75">
      <c r="L170" s="1"/>
    </row>
    <row r="171" ht="15.75">
      <c r="L171" s="1"/>
    </row>
    <row r="172" ht="15.75">
      <c r="L172" s="1"/>
    </row>
    <row r="173" ht="15.75">
      <c r="L173" s="1"/>
    </row>
    <row r="174" ht="15.75">
      <c r="L174" s="1"/>
    </row>
    <row r="175" ht="15.75">
      <c r="L175" s="1"/>
    </row>
    <row r="176" ht="15.75">
      <c r="L176" s="1"/>
    </row>
    <row r="177" ht="15.75">
      <c r="L177" s="1"/>
    </row>
    <row r="178" ht="15.75">
      <c r="L178" s="1"/>
    </row>
    <row r="179" ht="15.75">
      <c r="L179" s="1"/>
    </row>
    <row r="180" ht="15.75">
      <c r="L180" s="1"/>
    </row>
    <row r="181" ht="15.75">
      <c r="L181" s="1"/>
    </row>
    <row r="182" ht="15.75">
      <c r="L182" s="1"/>
    </row>
    <row r="183" ht="15.75">
      <c r="L183" s="1"/>
    </row>
    <row r="184" ht="15.75">
      <c r="L184" s="1"/>
    </row>
    <row r="185" ht="15.75">
      <c r="L185" s="1"/>
    </row>
    <row r="186" ht="15.75">
      <c r="L186" s="1"/>
    </row>
    <row r="187" ht="15.75">
      <c r="L187" s="1"/>
    </row>
    <row r="188" ht="15.75">
      <c r="L188" s="1"/>
    </row>
    <row r="189" ht="15.75">
      <c r="L189" s="1"/>
    </row>
    <row r="190" ht="15.75">
      <c r="L190" s="1"/>
    </row>
    <row r="191" ht="15.75">
      <c r="L191" s="1"/>
    </row>
    <row r="192" ht="15.75">
      <c r="L192" s="1"/>
    </row>
    <row r="193" ht="15.75">
      <c r="L193" s="1"/>
    </row>
    <row r="194" ht="15.75">
      <c r="L194" s="1"/>
    </row>
    <row r="195" ht="15.75">
      <c r="L195" s="1"/>
    </row>
    <row r="196" ht="15.75">
      <c r="L196" s="1"/>
    </row>
    <row r="197" ht="15.75">
      <c r="L197" s="1"/>
    </row>
    <row r="198" ht="15.75">
      <c r="L198" s="1"/>
    </row>
    <row r="199" ht="15.75">
      <c r="L199" s="1"/>
    </row>
    <row r="200" ht="15.75">
      <c r="L200" s="1"/>
    </row>
    <row r="201" ht="15.75">
      <c r="L201" s="1"/>
    </row>
    <row r="202" ht="15.75">
      <c r="L202" s="1"/>
    </row>
    <row r="203" ht="15.75">
      <c r="L203" s="1"/>
    </row>
    <row r="204" ht="15.75">
      <c r="L204" s="1"/>
    </row>
    <row r="205" ht="15.75">
      <c r="L205" s="1"/>
    </row>
    <row r="206" ht="15.75">
      <c r="L206" s="1"/>
    </row>
    <row r="207" ht="15.75">
      <c r="L207" s="1"/>
    </row>
    <row r="208" ht="15.75">
      <c r="L208" s="1"/>
    </row>
    <row r="209" ht="15.75">
      <c r="L209" s="1"/>
    </row>
    <row r="210" ht="15.75">
      <c r="L210" s="1"/>
    </row>
    <row r="211" ht="15.75">
      <c r="L211" s="1"/>
    </row>
    <row r="212" ht="15.75">
      <c r="L212" s="1"/>
    </row>
    <row r="213" ht="15.75">
      <c r="L213" s="1"/>
    </row>
    <row r="214" ht="15.75">
      <c r="L214" s="1"/>
    </row>
    <row r="215" ht="15.75">
      <c r="L215" s="1"/>
    </row>
    <row r="216" ht="15.75">
      <c r="L216" s="1"/>
    </row>
    <row r="217" ht="15.75">
      <c r="L217" s="1"/>
    </row>
    <row r="218" ht="15.75">
      <c r="L218" s="1"/>
    </row>
    <row r="219" ht="15.75">
      <c r="L219" s="1"/>
    </row>
    <row r="220" ht="15.75">
      <c r="L220" s="1"/>
    </row>
    <row r="221" ht="15.75">
      <c r="L221" s="1"/>
    </row>
    <row r="222" ht="15.75">
      <c r="L222" s="1"/>
    </row>
    <row r="223" ht="15.75">
      <c r="L223" s="1"/>
    </row>
    <row r="224" ht="15.75">
      <c r="L224" s="1"/>
    </row>
    <row r="225" ht="15.75">
      <c r="L225" s="1"/>
    </row>
    <row r="226" ht="15.75">
      <c r="L226" s="1"/>
    </row>
    <row r="227" ht="15.75">
      <c r="L227" s="1"/>
    </row>
    <row r="228" ht="15.75">
      <c r="L228" s="1"/>
    </row>
    <row r="229" ht="15.75">
      <c r="L229" s="1"/>
    </row>
    <row r="230" ht="15.75">
      <c r="L230" s="1"/>
    </row>
    <row r="231" ht="15.75">
      <c r="L231" s="1"/>
    </row>
    <row r="232" ht="15.75">
      <c r="L232" s="1"/>
    </row>
    <row r="233" ht="15.75">
      <c r="L233" s="1"/>
    </row>
    <row r="234" ht="15.75">
      <c r="L234" s="1"/>
    </row>
    <row r="235" ht="15.75">
      <c r="L235" s="1"/>
    </row>
    <row r="236" ht="15.75">
      <c r="L236" s="1"/>
    </row>
    <row r="237" ht="15.75">
      <c r="L237" s="1"/>
    </row>
    <row r="238" ht="15.75">
      <c r="L238" s="1"/>
    </row>
    <row r="239" ht="15.75">
      <c r="L239" s="1"/>
    </row>
    <row r="240" ht="15.75">
      <c r="L240" s="1"/>
    </row>
    <row r="241" ht="15.75">
      <c r="L241" s="1"/>
    </row>
    <row r="242" ht="15.75">
      <c r="L242" s="1"/>
    </row>
    <row r="243" ht="15.75">
      <c r="L243" s="1"/>
    </row>
    <row r="244" ht="15.75">
      <c r="L244" s="1"/>
    </row>
    <row r="245" ht="15.75">
      <c r="L245" s="1"/>
    </row>
    <row r="246" ht="15.75">
      <c r="L246" s="1"/>
    </row>
    <row r="247" ht="15.75">
      <c r="L247" s="1"/>
    </row>
    <row r="248" ht="15.75">
      <c r="L248" s="1"/>
    </row>
    <row r="249" ht="15.75">
      <c r="L249" s="1"/>
    </row>
    <row r="250" ht="15.75">
      <c r="L250" s="1"/>
    </row>
    <row r="251" ht="15.75">
      <c r="L251" s="1"/>
    </row>
    <row r="252" ht="15.75">
      <c r="L252" s="1"/>
    </row>
    <row r="253" ht="15.75">
      <c r="L253" s="1"/>
    </row>
    <row r="254" ht="15.75">
      <c r="L254" s="1"/>
    </row>
    <row r="255" ht="15.75">
      <c r="L255" s="1"/>
    </row>
    <row r="256" ht="15.75">
      <c r="L256" s="1"/>
    </row>
    <row r="257" ht="15.75">
      <c r="L257" s="1"/>
    </row>
    <row r="258" ht="15.75">
      <c r="L258" s="1"/>
    </row>
    <row r="259" ht="15.75">
      <c r="L259" s="1"/>
    </row>
    <row r="260" ht="15.75">
      <c r="L260" s="1"/>
    </row>
    <row r="261" ht="15.75">
      <c r="L261" s="1"/>
    </row>
    <row r="262" ht="15.75">
      <c r="L262" s="1"/>
    </row>
    <row r="263" ht="15.75">
      <c r="L263" s="1"/>
    </row>
    <row r="264" ht="15.75">
      <c r="L264" s="1"/>
    </row>
    <row r="265" ht="15.75">
      <c r="L265" s="1"/>
    </row>
    <row r="266" ht="15.75">
      <c r="L266" s="1"/>
    </row>
    <row r="267" ht="15.75">
      <c r="L267" s="1"/>
    </row>
    <row r="268" ht="15.75">
      <c r="L268" s="1"/>
    </row>
    <row r="269" ht="15.75">
      <c r="L269" s="1"/>
    </row>
    <row r="270" ht="15.75">
      <c r="L270" s="1"/>
    </row>
    <row r="271" ht="15.75">
      <c r="L271" s="1"/>
    </row>
    <row r="272" ht="15.75">
      <c r="L272" s="1"/>
    </row>
    <row r="273" ht="15.75">
      <c r="L273" s="1"/>
    </row>
    <row r="274" ht="15.75">
      <c r="L274" s="1"/>
    </row>
    <row r="275" ht="15.75">
      <c r="L275" s="1"/>
    </row>
    <row r="276" ht="15.75">
      <c r="L276" s="1"/>
    </row>
    <row r="277" ht="15.75">
      <c r="L277" s="1"/>
    </row>
    <row r="278" ht="15.75">
      <c r="L278" s="1"/>
    </row>
    <row r="279" ht="15.75">
      <c r="L279" s="1"/>
    </row>
    <row r="280" ht="15.75">
      <c r="L280" s="1"/>
    </row>
    <row r="281" ht="15.75">
      <c r="L281" s="1"/>
    </row>
    <row r="282" ht="15.75">
      <c r="L282" s="1"/>
    </row>
    <row r="283" ht="15.75">
      <c r="L283" s="1"/>
    </row>
    <row r="284" ht="15.75">
      <c r="L284" s="1"/>
    </row>
    <row r="285" ht="15.75">
      <c r="L285" s="1"/>
    </row>
    <row r="286" ht="15.75">
      <c r="L286" s="1"/>
    </row>
    <row r="287" ht="15.75">
      <c r="L287" s="1"/>
    </row>
    <row r="288" ht="15.75">
      <c r="L288" s="1"/>
    </row>
    <row r="289" ht="15.75">
      <c r="L289" s="1"/>
    </row>
    <row r="290" ht="15.75">
      <c r="L290" s="1"/>
    </row>
    <row r="291" ht="15.75">
      <c r="L291" s="1"/>
    </row>
    <row r="292" ht="15.75">
      <c r="L292" s="1"/>
    </row>
    <row r="293" ht="15.75">
      <c r="L293" s="1"/>
    </row>
    <row r="294" ht="15.75">
      <c r="L294" s="1"/>
    </row>
    <row r="295" ht="15.75">
      <c r="L295" s="1"/>
    </row>
    <row r="296" ht="15.75">
      <c r="L296" s="1"/>
    </row>
    <row r="297" ht="15.75">
      <c r="L297" s="1"/>
    </row>
    <row r="298" ht="15.75">
      <c r="L298" s="1"/>
    </row>
    <row r="299" ht="15.75">
      <c r="L299" s="1"/>
    </row>
    <row r="300" ht="15.75">
      <c r="L300" s="1"/>
    </row>
    <row r="301" ht="15.75">
      <c r="L301" s="1"/>
    </row>
    <row r="302" ht="15.75">
      <c r="L302" s="1"/>
    </row>
    <row r="303" ht="15.75">
      <c r="L303" s="1"/>
    </row>
    <row r="304" ht="15.75">
      <c r="L304" s="1"/>
    </row>
    <row r="305" ht="15.75">
      <c r="L305" s="1"/>
    </row>
    <row r="306" ht="15.75">
      <c r="L306" s="1"/>
    </row>
    <row r="307" ht="15.75">
      <c r="L307" s="1"/>
    </row>
    <row r="308" ht="15.75">
      <c r="L308" s="1"/>
    </row>
    <row r="309" ht="15.75">
      <c r="L309" s="1"/>
    </row>
    <row r="310" ht="15.75">
      <c r="L310" s="1"/>
    </row>
    <row r="311" ht="15.75">
      <c r="L311" s="1"/>
    </row>
    <row r="312" ht="15.75">
      <c r="L312" s="1"/>
    </row>
    <row r="313" ht="15.75">
      <c r="L313" s="1"/>
    </row>
    <row r="314" ht="15.75">
      <c r="L314" s="1"/>
    </row>
    <row r="315" ht="15.75">
      <c r="L315" s="1"/>
    </row>
    <row r="316" ht="15.75">
      <c r="L316" s="1"/>
    </row>
    <row r="317" ht="15.75">
      <c r="L317" s="1"/>
    </row>
    <row r="318" spans="11:12" ht="15.75">
      <c r="K318" s="1"/>
      <c r="L318" s="1"/>
    </row>
    <row r="319" spans="11:12" ht="15.75">
      <c r="K319" s="1"/>
      <c r="L319" s="1"/>
    </row>
    <row r="320" spans="11:12" ht="15.75">
      <c r="K320" s="1"/>
      <c r="L320" s="1"/>
    </row>
    <row r="321" spans="11:12" ht="15.75">
      <c r="K321" s="1"/>
      <c r="L321" s="1"/>
    </row>
    <row r="322" spans="11:12" ht="15.75">
      <c r="K322" s="1"/>
      <c r="L322" s="1"/>
    </row>
    <row r="323" spans="11:12" ht="15.75">
      <c r="K323" s="1"/>
      <c r="L323" s="1"/>
    </row>
    <row r="324" spans="11:12" ht="15.75">
      <c r="K324" s="1"/>
      <c r="L324" s="1"/>
    </row>
    <row r="325" spans="11:12" ht="15.75">
      <c r="K325" s="1"/>
      <c r="L325" s="1"/>
    </row>
    <row r="326" spans="11:12" ht="15.75">
      <c r="K326" s="1"/>
      <c r="L326" s="1"/>
    </row>
    <row r="327" spans="11:12" ht="15.75">
      <c r="K327" s="1"/>
      <c r="L327" s="1"/>
    </row>
    <row r="328" spans="11:12" ht="15.75">
      <c r="K328" s="1"/>
      <c r="L328" s="1"/>
    </row>
    <row r="329" spans="11:12" ht="15.75">
      <c r="K329" s="1"/>
      <c r="L329" s="1"/>
    </row>
    <row r="330" spans="11:12" ht="15.75">
      <c r="K330" s="1"/>
      <c r="L330" s="1"/>
    </row>
    <row r="331" spans="11:12" ht="15.75">
      <c r="K331" s="1"/>
      <c r="L331" s="1"/>
    </row>
    <row r="332" spans="11:12" ht="15.75">
      <c r="K332" s="1"/>
      <c r="L332" s="1"/>
    </row>
    <row r="333" spans="11:12" ht="15.75">
      <c r="K333" s="1"/>
      <c r="L333" s="1"/>
    </row>
    <row r="334" spans="11:12" ht="15.75">
      <c r="K334" s="1"/>
      <c r="L334" s="1"/>
    </row>
    <row r="335" spans="11:12" ht="15.75">
      <c r="K335" s="1"/>
      <c r="L335" s="1"/>
    </row>
    <row r="336" spans="11:12" ht="15.75">
      <c r="K336" s="1"/>
      <c r="L336" s="1"/>
    </row>
    <row r="337" spans="11:12" ht="15.75">
      <c r="K337" s="1"/>
      <c r="L337" s="1"/>
    </row>
    <row r="338" spans="11:12" ht="15.75">
      <c r="K338" s="1"/>
      <c r="L338" s="1"/>
    </row>
    <row r="339" spans="11:12" ht="15.75">
      <c r="K339" s="1"/>
      <c r="L339" s="1"/>
    </row>
    <row r="340" spans="11:12" ht="15.75">
      <c r="K340" s="1"/>
      <c r="L340" s="1"/>
    </row>
    <row r="341" spans="11:12" ht="15.75">
      <c r="K341" s="1"/>
      <c r="L341" s="1"/>
    </row>
    <row r="342" spans="11:12" ht="15.75">
      <c r="K342" s="1"/>
      <c r="L342" s="1"/>
    </row>
    <row r="343" spans="11:12" ht="15.75">
      <c r="K343" s="1"/>
      <c r="L343" s="1"/>
    </row>
    <row r="344" spans="11:12" ht="15.75">
      <c r="K344" s="1"/>
      <c r="L344" s="1"/>
    </row>
    <row r="437" spans="2:11" ht="15.75">
      <c r="B437" s="17"/>
      <c r="C437" s="17"/>
      <c r="D437" s="17"/>
      <c r="E437" s="17"/>
      <c r="F437" s="17"/>
      <c r="G437" s="17"/>
      <c r="H437" s="17"/>
      <c r="I437" s="17"/>
      <c r="J437" s="17"/>
      <c r="K437" s="17"/>
    </row>
    <row r="438" spans="2:11" ht="15.75">
      <c r="B438" s="17"/>
      <c r="C438" s="17"/>
      <c r="D438" s="17"/>
      <c r="E438" s="17"/>
      <c r="F438" s="17"/>
      <c r="G438" s="17"/>
      <c r="H438" s="17"/>
      <c r="I438" s="17"/>
      <c r="J438" s="17"/>
      <c r="K438" s="17"/>
    </row>
    <row r="439" spans="2:11" ht="15.75">
      <c r="B439" s="17"/>
      <c r="C439" s="17"/>
      <c r="D439" s="17"/>
      <c r="E439" s="17"/>
      <c r="F439" s="17"/>
      <c r="G439" s="17"/>
      <c r="H439" s="17"/>
      <c r="I439" s="17"/>
      <c r="J439" s="17"/>
      <c r="K439" s="17"/>
    </row>
    <row r="440" spans="2:11" ht="15.75">
      <c r="B440" s="17"/>
      <c r="C440" s="17"/>
      <c r="D440" s="17"/>
      <c r="E440" s="17"/>
      <c r="F440" s="17"/>
      <c r="G440" s="17"/>
      <c r="H440" s="17"/>
      <c r="I440" s="17"/>
      <c r="J440" s="17"/>
      <c r="K440" s="17"/>
    </row>
    <row r="441" spans="2:11" ht="15.75">
      <c r="B441" s="17"/>
      <c r="C441" s="17"/>
      <c r="D441" s="17"/>
      <c r="E441" s="17"/>
      <c r="F441" s="17"/>
      <c r="G441" s="17"/>
      <c r="H441" s="17"/>
      <c r="I441" s="17"/>
      <c r="J441" s="17"/>
      <c r="K441" s="17"/>
    </row>
    <row r="442" spans="2:11" ht="15.75">
      <c r="B442" s="17"/>
      <c r="C442" s="17"/>
      <c r="D442" s="17"/>
      <c r="E442" s="17"/>
      <c r="F442" s="17"/>
      <c r="G442" s="17"/>
      <c r="H442" s="17"/>
      <c r="I442" s="17"/>
      <c r="J442" s="17"/>
      <c r="K442" s="17"/>
    </row>
    <row r="443" spans="2:11" ht="15.75">
      <c r="B443" s="17"/>
      <c r="C443" s="17"/>
      <c r="D443" s="17"/>
      <c r="E443" s="17"/>
      <c r="F443" s="17"/>
      <c r="G443" s="17"/>
      <c r="H443" s="17"/>
      <c r="I443" s="17"/>
      <c r="J443" s="17"/>
      <c r="K443" s="17"/>
    </row>
    <row r="444" spans="2:11" ht="15.75">
      <c r="B444" s="17"/>
      <c r="C444" s="17"/>
      <c r="D444" s="17"/>
      <c r="E444" s="17"/>
      <c r="F444" s="17"/>
      <c r="G444" s="17"/>
      <c r="H444" s="17"/>
      <c r="I444" s="17"/>
      <c r="J444" s="17"/>
      <c r="K444" s="17"/>
    </row>
    <row r="445" spans="2:11" ht="15.75">
      <c r="B445" s="17"/>
      <c r="C445" s="17"/>
      <c r="D445" s="17"/>
      <c r="E445" s="17"/>
      <c r="F445" s="17"/>
      <c r="G445" s="17"/>
      <c r="H445" s="17"/>
      <c r="I445" s="17"/>
      <c r="J445" s="17"/>
      <c r="K445" s="17"/>
    </row>
    <row r="446" spans="2:11" ht="15.75">
      <c r="B446" s="17"/>
      <c r="C446" s="17"/>
      <c r="D446" s="17"/>
      <c r="E446" s="17"/>
      <c r="F446" s="17"/>
      <c r="G446" s="17"/>
      <c r="H446" s="17"/>
      <c r="I446" s="17"/>
      <c r="J446" s="17"/>
      <c r="K446" s="17"/>
    </row>
  </sheetData>
  <sheetProtection sheet="1" formatCells="0" formatColumns="0" formatRows="0"/>
  <mergeCells count="6">
    <mergeCell ref="G9:G10"/>
    <mergeCell ref="H9:H10"/>
    <mergeCell ref="C9:C10"/>
    <mergeCell ref="D9:D10"/>
    <mergeCell ref="E9:E10"/>
    <mergeCell ref="F9:F10"/>
  </mergeCells>
  <hyperlinks>
    <hyperlink ref="L5" r:id="rId1" display="http://www.montana.edu/softwaredownloads/ "/>
  </hyperlinks>
  <printOptions horizontalCentered="1"/>
  <pageMargins left="0.5" right="0.5" top="0.5" bottom="0.5" header="0.5" footer="0.5"/>
  <pageSetup fitToHeight="1" fitToWidth="1" horizontalDpi="300" verticalDpi="300" orientation="portrait" scale="70" r:id="rId5"/>
  <drawing r:id="rId4"/>
  <legacyDrawing r:id="rId3"/>
</worksheet>
</file>

<file path=xl/worksheets/sheet10.xml><?xml version="1.0" encoding="utf-8"?>
<worksheet xmlns="http://schemas.openxmlformats.org/spreadsheetml/2006/main" xmlns:r="http://schemas.openxmlformats.org/officeDocument/2006/relationships">
  <sheetPr codeName="Sheet10">
    <tabColor rgb="FF00B050"/>
    <pageSetUpPr fitToPage="1"/>
  </sheetPr>
  <dimension ref="A1:L76"/>
  <sheetViews>
    <sheetView showGridLines="0" zoomScalePageLayoutView="0" workbookViewId="0" topLeftCell="A1">
      <selection activeCell="B2" sqref="B2"/>
    </sheetView>
  </sheetViews>
  <sheetFormatPr defaultColWidth="8.796875" defaultRowHeight="15"/>
  <cols>
    <col min="1" max="1" width="4.09765625" style="0" customWidth="1"/>
    <col min="2" max="2" width="21.8984375" style="0" customWidth="1"/>
    <col min="5" max="5" width="10.69921875" style="0" customWidth="1"/>
    <col min="6" max="6" width="13.19921875" style="0" customWidth="1"/>
    <col min="7" max="7" width="10.09765625" style="0" customWidth="1"/>
    <col min="8" max="8" width="17.5" style="0" customWidth="1"/>
    <col min="9" max="9" width="15.5" style="0" customWidth="1"/>
    <col min="10" max="10" width="10.69921875" style="0" customWidth="1"/>
  </cols>
  <sheetData>
    <row r="1" spans="1:10" ht="15.75" customHeight="1">
      <c r="A1" s="17"/>
      <c r="B1" s="50" t="s">
        <v>100</v>
      </c>
      <c r="C1" s="17"/>
      <c r="D1" s="17"/>
      <c r="E1" s="17"/>
      <c r="F1" s="17"/>
      <c r="G1" s="17"/>
      <c r="H1" s="17"/>
      <c r="I1" s="17"/>
      <c r="J1" s="17"/>
    </row>
    <row r="2" spans="1:10" ht="15.75" customHeight="1">
      <c r="A2" s="17"/>
      <c r="B2" s="53" t="s">
        <v>96</v>
      </c>
      <c r="C2" s="17"/>
      <c r="D2" s="17"/>
      <c r="E2" s="17"/>
      <c r="F2" s="17"/>
      <c r="G2" s="17"/>
      <c r="H2" s="17"/>
      <c r="I2" s="17"/>
      <c r="J2" s="17"/>
    </row>
    <row r="3" spans="1:10" ht="20.25">
      <c r="A3" s="17"/>
      <c r="B3" s="17" t="s">
        <v>219</v>
      </c>
      <c r="C3" s="17"/>
      <c r="D3" s="17"/>
      <c r="E3" s="17"/>
      <c r="F3" s="17"/>
      <c r="G3" s="17"/>
      <c r="H3" s="17"/>
      <c r="I3" s="273" t="str">
        <f>CashLeaseResults!$H$6</f>
        <v>N</v>
      </c>
      <c r="J3" s="17"/>
    </row>
    <row r="4" spans="1:10" ht="15.75">
      <c r="A4" s="17"/>
      <c r="B4" s="17"/>
      <c r="C4" s="17"/>
      <c r="D4" s="17"/>
      <c r="E4" s="17"/>
      <c r="F4" s="17"/>
      <c r="G4" s="17"/>
      <c r="H4" s="17"/>
      <c r="I4" s="17"/>
      <c r="J4" s="17"/>
    </row>
    <row r="5" spans="1:11" ht="19.5" customHeight="1">
      <c r="A5" s="120"/>
      <c r="B5" s="271" t="s">
        <v>214</v>
      </c>
      <c r="C5" s="272"/>
      <c r="D5" s="272"/>
      <c r="E5" s="272"/>
      <c r="F5" s="272"/>
      <c r="G5" s="272"/>
      <c r="H5" s="272"/>
      <c r="I5" s="272"/>
      <c r="J5" s="274"/>
      <c r="K5" s="50"/>
    </row>
    <row r="6" spans="1:11" ht="15.75">
      <c r="A6" s="120"/>
      <c r="B6" s="52" t="s">
        <v>67</v>
      </c>
      <c r="C6" s="52"/>
      <c r="D6" s="52"/>
      <c r="E6" s="52"/>
      <c r="F6" s="52"/>
      <c r="G6" s="52"/>
      <c r="H6" s="52"/>
      <c r="I6" s="52"/>
      <c r="J6" s="52"/>
      <c r="K6" s="50"/>
    </row>
    <row r="7" spans="1:11" ht="15.75">
      <c r="A7" s="120"/>
      <c r="B7" s="72" t="s">
        <v>68</v>
      </c>
      <c r="C7" s="52"/>
      <c r="D7" s="52"/>
      <c r="E7" s="52"/>
      <c r="F7" s="52"/>
      <c r="G7" s="52"/>
      <c r="H7" s="52"/>
      <c r="I7" s="52"/>
      <c r="J7" s="52"/>
      <c r="K7" s="50"/>
    </row>
    <row r="8" spans="1:11" ht="15.75">
      <c r="A8" s="120"/>
      <c r="B8" s="52" t="s">
        <v>97</v>
      </c>
      <c r="C8" s="52"/>
      <c r="D8" s="52"/>
      <c r="E8" s="52"/>
      <c r="F8" s="52"/>
      <c r="G8" s="52"/>
      <c r="H8" s="52"/>
      <c r="I8" s="52"/>
      <c r="J8" s="52"/>
      <c r="K8" s="50"/>
    </row>
    <row r="9" spans="1:11" ht="15.75">
      <c r="A9" s="120"/>
      <c r="B9" s="52" t="s">
        <v>69</v>
      </c>
      <c r="C9" s="52"/>
      <c r="D9" s="52"/>
      <c r="E9" s="52"/>
      <c r="F9" s="52"/>
      <c r="G9" s="52"/>
      <c r="H9" s="52"/>
      <c r="I9" s="52"/>
      <c r="J9" s="50"/>
      <c r="K9" s="50"/>
    </row>
    <row r="10" spans="1:11" ht="15.75">
      <c r="A10" s="120"/>
      <c r="B10" s="52"/>
      <c r="C10" s="52"/>
      <c r="D10" s="52"/>
      <c r="E10" s="52"/>
      <c r="F10" s="52"/>
      <c r="G10" s="52"/>
      <c r="I10" s="52"/>
      <c r="J10" s="50"/>
      <c r="K10" s="50"/>
    </row>
    <row r="11" spans="1:11" ht="15.75">
      <c r="A11" s="120"/>
      <c r="B11" s="68" t="s">
        <v>70</v>
      </c>
      <c r="C11" s="50"/>
      <c r="D11" s="52"/>
      <c r="E11" s="52"/>
      <c r="F11" s="52"/>
      <c r="G11" s="52"/>
      <c r="H11" s="337" t="s">
        <v>72</v>
      </c>
      <c r="I11" s="73"/>
      <c r="J11" s="50"/>
      <c r="K11" s="59"/>
    </row>
    <row r="12" spans="1:11" ht="15.75">
      <c r="A12" s="120"/>
      <c r="B12" s="52" t="s">
        <v>101</v>
      </c>
      <c r="C12" s="52"/>
      <c r="D12" s="52"/>
      <c r="E12" s="52"/>
      <c r="F12" s="52"/>
      <c r="G12" s="52"/>
      <c r="H12" s="59" t="s">
        <v>106</v>
      </c>
      <c r="I12" s="52"/>
      <c r="J12" s="50"/>
      <c r="K12" s="50"/>
    </row>
    <row r="13" spans="1:12" ht="10.5" customHeight="1">
      <c r="A13" s="120"/>
      <c r="B13" s="52"/>
      <c r="C13" s="52"/>
      <c r="D13" s="52"/>
      <c r="E13" s="52"/>
      <c r="F13" s="52"/>
      <c r="G13" s="52"/>
      <c r="H13" s="52"/>
      <c r="I13" s="52"/>
      <c r="J13" s="50"/>
      <c r="K13" s="50"/>
      <c r="L13" s="59"/>
    </row>
    <row r="14" spans="1:11" ht="10.5" customHeight="1">
      <c r="A14" s="120"/>
      <c r="B14" s="52"/>
      <c r="C14" s="52"/>
      <c r="D14" s="52"/>
      <c r="E14" s="52"/>
      <c r="F14" s="52"/>
      <c r="G14" s="52"/>
      <c r="H14" s="52"/>
      <c r="I14" s="59"/>
      <c r="J14" s="52"/>
      <c r="K14" s="50"/>
    </row>
    <row r="15" spans="1:11" ht="13.5" customHeight="1">
      <c r="A15" s="120"/>
      <c r="B15" s="52"/>
      <c r="C15" s="56" t="s">
        <v>71</v>
      </c>
      <c r="D15" s="52"/>
      <c r="E15" s="52"/>
      <c r="F15" s="52"/>
      <c r="G15" s="52"/>
      <c r="H15" s="52"/>
      <c r="I15" s="59"/>
      <c r="J15" s="52"/>
      <c r="K15" s="50"/>
    </row>
    <row r="16" spans="1:11" ht="13.5" customHeight="1">
      <c r="A16" s="120"/>
      <c r="B16" s="52"/>
      <c r="C16" s="300" t="str">
        <f>CashLeaseResults!C19</f>
        <v>Winter Wheat</v>
      </c>
      <c r="D16" s="296" t="str">
        <f>CashLeaseResults!D19</f>
        <v>Spring Wheat</v>
      </c>
      <c r="E16" s="296" t="str">
        <f>CashLeaseResults!E19</f>
        <v>Durum</v>
      </c>
      <c r="F16" s="296" t="str">
        <f>CashLeaseResults!F19</f>
        <v>Malt Barley</v>
      </c>
      <c r="G16" s="296" t="str">
        <f>CashLeaseResults!G19</f>
        <v>Summer Fallow</v>
      </c>
      <c r="H16" s="298" t="str">
        <f>CashLeaseResults!H19</f>
        <v>Not Used</v>
      </c>
      <c r="I16" s="68"/>
      <c r="J16" s="52"/>
      <c r="K16" s="50"/>
    </row>
    <row r="17" spans="1:11" ht="13.5" customHeight="1">
      <c r="A17" s="120"/>
      <c r="B17" s="52"/>
      <c r="C17" s="301"/>
      <c r="D17" s="297"/>
      <c r="E17" s="297"/>
      <c r="F17" s="297"/>
      <c r="G17" s="297"/>
      <c r="H17" s="299"/>
      <c r="I17" s="52"/>
      <c r="J17" s="52"/>
      <c r="K17" s="50"/>
    </row>
    <row r="18" spans="1:11" ht="13.5" customHeight="1">
      <c r="A18" s="120"/>
      <c r="B18" s="211" t="s">
        <v>72</v>
      </c>
      <c r="C18" s="212">
        <v>35</v>
      </c>
      <c r="D18" s="213">
        <v>30</v>
      </c>
      <c r="E18" s="213">
        <v>22</v>
      </c>
      <c r="F18" s="214">
        <v>55</v>
      </c>
      <c r="G18" s="213">
        <v>0</v>
      </c>
      <c r="H18" s="215">
        <v>0</v>
      </c>
      <c r="I18" s="52"/>
      <c r="J18" s="52"/>
      <c r="K18" s="50"/>
    </row>
    <row r="19" spans="1:11" ht="13.5" customHeight="1">
      <c r="A19" s="120"/>
      <c r="B19" s="52" t="s">
        <v>73</v>
      </c>
      <c r="C19" s="74">
        <f>IF(CashLeaseResults!$C$22&lt;=0,0,C18/CashLeaseResults!$C$22)</f>
        <v>0.8333333333333334</v>
      </c>
      <c r="D19" s="74">
        <f>IF(CashLeaseResults!D22&lt;=0,0,D18/CashLeaseResults!D22)</f>
        <v>1.0714285714285714</v>
      </c>
      <c r="E19" s="74">
        <f>IF(CashLeaseResults!E22&lt;=0,0,E18/CashLeaseResults!E22)</f>
        <v>1</v>
      </c>
      <c r="F19" s="74">
        <f>IF(CashLeaseResults!F22&lt;=0,0,F18/CashLeaseResults!F22)</f>
        <v>1.0576923076923077</v>
      </c>
      <c r="G19" s="74">
        <f>IF(CashLeaseResults!G22&lt;=0,0,G18/CashLeaseResults!G22)</f>
        <v>0</v>
      </c>
      <c r="H19" s="74">
        <f>IF(CashLeaseResults!H22&lt;=0,0,H18/CashLeaseResults!H22)</f>
        <v>0</v>
      </c>
      <c r="J19" s="52"/>
      <c r="K19" s="270"/>
    </row>
    <row r="20" spans="1:11" ht="13.5" customHeight="1">
      <c r="A20" s="120"/>
      <c r="B20" s="52"/>
      <c r="C20" s="52"/>
      <c r="D20" s="52"/>
      <c r="E20" s="52"/>
      <c r="F20" s="52"/>
      <c r="G20" s="52"/>
      <c r="H20" s="335" t="s">
        <v>240</v>
      </c>
      <c r="I20" s="75">
        <f>SUM(CashLeaseResults!C26*C19+CashLeaseResults!D26*D19+CashLeaseResults!E26*E19+CashLeaseResults!F26*F19+CashLeaseResults!G26*G19+CashLeaseResults!H26*H19)</f>
        <v>38.61246511482415</v>
      </c>
      <c r="J20" s="52"/>
      <c r="K20" s="270"/>
    </row>
    <row r="21" spans="1:11" ht="13.5" customHeight="1">
      <c r="A21" s="120"/>
      <c r="B21" s="52"/>
      <c r="C21" s="52"/>
      <c r="D21" s="52"/>
      <c r="E21" s="52"/>
      <c r="F21" s="52"/>
      <c r="G21" s="52"/>
      <c r="H21" s="334" t="s">
        <v>109</v>
      </c>
      <c r="I21" s="148">
        <f>I20*CashLeaseResults!I28</f>
        <v>96531.16278706037</v>
      </c>
      <c r="J21" s="52"/>
      <c r="K21" s="270"/>
    </row>
    <row r="22" spans="1:11" ht="13.5" customHeight="1">
      <c r="A22" s="120"/>
      <c r="B22" s="52"/>
      <c r="C22" s="52"/>
      <c r="D22" s="52"/>
      <c r="E22" s="52"/>
      <c r="F22" s="52"/>
      <c r="G22" s="52"/>
      <c r="H22" s="52"/>
      <c r="I22" s="52"/>
      <c r="J22" s="52"/>
      <c r="K22" s="270"/>
    </row>
    <row r="23" spans="1:11" ht="13.5" customHeight="1">
      <c r="A23" s="120"/>
      <c r="B23" s="52" t="s">
        <v>74</v>
      </c>
      <c r="C23" s="52"/>
      <c r="D23" s="76" t="s">
        <v>98</v>
      </c>
      <c r="E23" s="76"/>
      <c r="F23" s="76"/>
      <c r="G23" s="76"/>
      <c r="H23" s="76"/>
      <c r="I23" s="59" t="s">
        <v>239</v>
      </c>
      <c r="J23" s="52"/>
      <c r="K23" s="270"/>
    </row>
    <row r="24" spans="1:11" ht="13.5" customHeight="1">
      <c r="A24" s="120"/>
      <c r="B24" s="52" t="s">
        <v>75</v>
      </c>
      <c r="C24" s="341">
        <v>0.02</v>
      </c>
      <c r="D24" s="76" t="s">
        <v>76</v>
      </c>
      <c r="E24" s="76"/>
      <c r="F24" s="76"/>
      <c r="G24" s="76"/>
      <c r="H24" s="76"/>
      <c r="I24" s="336" t="s">
        <v>238</v>
      </c>
      <c r="J24" s="52"/>
      <c r="K24" s="50"/>
    </row>
    <row r="25" spans="1:11" ht="13.5" customHeight="1">
      <c r="A25" s="120"/>
      <c r="B25" s="52"/>
      <c r="C25" s="300" t="str">
        <f>CashLeaseResults!C19</f>
        <v>Winter Wheat</v>
      </c>
      <c r="D25" s="296" t="str">
        <f>CashLeaseResults!D19</f>
        <v>Spring Wheat</v>
      </c>
      <c r="E25" s="296" t="str">
        <f>CashLeaseResults!E19</f>
        <v>Durum</v>
      </c>
      <c r="F25" s="296" t="str">
        <f>CashLeaseResults!F19</f>
        <v>Malt Barley</v>
      </c>
      <c r="G25" s="296" t="str">
        <f>CashLeaseResults!G19</f>
        <v>Summer Fallow</v>
      </c>
      <c r="H25" s="298" t="str">
        <f>CashLeaseResults!H19</f>
        <v>Not Used</v>
      </c>
      <c r="I25" s="59" t="s">
        <v>77</v>
      </c>
      <c r="J25" s="52"/>
      <c r="K25" s="50"/>
    </row>
    <row r="26" spans="1:11" ht="13.5" customHeight="1">
      <c r="A26" s="120"/>
      <c r="B26" s="77" t="s">
        <v>78</v>
      </c>
      <c r="C26" s="301"/>
      <c r="D26" s="297"/>
      <c r="E26" s="297"/>
      <c r="F26" s="297"/>
      <c r="G26" s="297"/>
      <c r="H26" s="299"/>
      <c r="I26" s="78" t="s">
        <v>79</v>
      </c>
      <c r="J26" s="52"/>
      <c r="K26" s="50"/>
    </row>
    <row r="27" spans="1:11" ht="13.5" customHeight="1">
      <c r="A27" s="120"/>
      <c r="B27" s="52" t="s">
        <v>80</v>
      </c>
      <c r="C27" s="79">
        <f aca="true" t="shared" si="0" ref="C27:H27">C30*(1-(3*$C$24))</f>
        <v>39.48</v>
      </c>
      <c r="D27" s="80">
        <f t="shared" si="0"/>
        <v>26.32</v>
      </c>
      <c r="E27" s="80">
        <f t="shared" si="0"/>
        <v>20.68</v>
      </c>
      <c r="F27" s="80">
        <f t="shared" si="0"/>
        <v>48.879999999999995</v>
      </c>
      <c r="G27" s="80">
        <f t="shared" si="0"/>
        <v>0</v>
      </c>
      <c r="H27" s="80">
        <f t="shared" si="0"/>
        <v>0</v>
      </c>
      <c r="I27" s="81">
        <f>CashLeaseResults!$C$26*(C27/IF(CashLeaseResults!$C$22=0,1,CashLeaseResults!$C$22))+CashLeaseResults!$D$26*(D27/IF(CashLeaseResults!$D$22=0,1,CashLeaseResults!$D$22))+CashLeaseResults!$E$26*(E27/IF(CashLeaseResults!$E$22=0,1,CashLeaseResults!$E$22))+CashLeaseResults!$F$26*(F27/IF(CashLeaseResults!$F$22=0,1,CashLeaseResults!$F$22))+CashLeaseResults!$G$26*(G27/IF(CashLeaseResults!$G$22=0,1,CashLeaseResults!$G$22))+CashLeaseResults!$H$26*(H27/IF(CashLeaseResults!$H$22=0,1,CashLeaseResults!$H$22))</f>
        <v>36.327246388644596</v>
      </c>
      <c r="J27" s="52"/>
      <c r="K27" s="50"/>
    </row>
    <row r="28" spans="1:11" ht="13.5" customHeight="1">
      <c r="A28" s="120"/>
      <c r="B28" s="52" t="s">
        <v>81</v>
      </c>
      <c r="C28" s="82">
        <f aca="true" t="shared" si="1" ref="C28:H28">C30*(1-(2*$C$24))</f>
        <v>40.32</v>
      </c>
      <c r="D28" s="80">
        <f t="shared" si="1"/>
        <v>26.88</v>
      </c>
      <c r="E28" s="80">
        <f t="shared" si="1"/>
        <v>21.119999999999997</v>
      </c>
      <c r="F28" s="80">
        <f t="shared" si="1"/>
        <v>49.92</v>
      </c>
      <c r="G28" s="80">
        <f t="shared" si="1"/>
        <v>0</v>
      </c>
      <c r="H28" s="80">
        <f t="shared" si="1"/>
        <v>0</v>
      </c>
      <c r="I28" s="81">
        <f>CashLeaseResults!$C$26*(C28/IF(CashLeaseResults!$C$22=0,1,CashLeaseResults!$C$22))+CashLeaseResults!$D$26*(D28/IF(CashLeaseResults!$D$22=0,1,CashLeaseResults!$D$22))+CashLeaseResults!$E$26*(E28/IF(CashLeaseResults!$E$22=0,1,CashLeaseResults!$E$22))+CashLeaseResults!$F$26*(F28/IF(CashLeaseResults!$F$22=0,1,CashLeaseResults!$F$22))+CashLeaseResults!$G$26*(G28/IF(CashLeaseResults!$G$22=0,1,CashLeaseResults!$G$22))+CashLeaseResults!$H$26*(H28/IF(CashLeaseResults!$H$22=0,1,CashLeaseResults!$H$22))</f>
        <v>37.100166524573204</v>
      </c>
      <c r="J28" s="52"/>
      <c r="K28" s="50"/>
    </row>
    <row r="29" spans="1:11" ht="13.5" customHeight="1">
      <c r="A29" s="120"/>
      <c r="B29" s="52" t="s">
        <v>82</v>
      </c>
      <c r="C29" s="82">
        <f aca="true" t="shared" si="2" ref="C29:H29">C30*(1-$C$24)</f>
        <v>41.16</v>
      </c>
      <c r="D29" s="80">
        <f t="shared" si="2"/>
        <v>27.439999999999998</v>
      </c>
      <c r="E29" s="80">
        <f t="shared" si="2"/>
        <v>21.56</v>
      </c>
      <c r="F29" s="80">
        <f t="shared" si="2"/>
        <v>50.96</v>
      </c>
      <c r="G29" s="80">
        <f t="shared" si="2"/>
        <v>0</v>
      </c>
      <c r="H29" s="80">
        <f t="shared" si="2"/>
        <v>0</v>
      </c>
      <c r="I29" s="81">
        <f>CashLeaseResults!$C$26*(C29/IF(CashLeaseResults!$C$22=0,1,CashLeaseResults!$C$22))+CashLeaseResults!$D$26*(D29/IF(CashLeaseResults!$D$22=0,1,CashLeaseResults!$D$22))+CashLeaseResults!$E$26*(E29/IF(CashLeaseResults!$E$22=0,1,CashLeaseResults!$E$22))+CashLeaseResults!$F$26*(F29/IF(CashLeaseResults!$F$22=0,1,CashLeaseResults!$F$22))+CashLeaseResults!$G$26*(G29/IF(CashLeaseResults!$G$22=0,1,CashLeaseResults!$G$22))+CashLeaseResults!$H$26*(H29/IF(CashLeaseResults!$H$22=0,1,CashLeaseResults!$H$22))</f>
        <v>37.873086660501805</v>
      </c>
      <c r="J29" s="52"/>
      <c r="K29" s="50"/>
    </row>
    <row r="30" spans="1:11" ht="13.5" customHeight="1">
      <c r="A30" s="120"/>
      <c r="B30" s="83" t="s">
        <v>83</v>
      </c>
      <c r="C30" s="84">
        <f>CashLeaseResults!C22</f>
        <v>42</v>
      </c>
      <c r="D30" s="85">
        <f>CashLeaseResults!D22</f>
        <v>28</v>
      </c>
      <c r="E30" s="85">
        <f>CashLeaseResults!E22</f>
        <v>22</v>
      </c>
      <c r="F30" s="85">
        <f>CashLeaseResults!F22</f>
        <v>52</v>
      </c>
      <c r="G30" s="85">
        <f>CashLeaseResults!G22</f>
        <v>0</v>
      </c>
      <c r="H30" s="85">
        <f>CashLeaseResults!H22</f>
        <v>0</v>
      </c>
      <c r="I30" s="86">
        <f>CashLeaseResults!$C$26*(C30/IF(CashLeaseResults!$C$22=0,1,CashLeaseResults!$C$22))+CashLeaseResults!$D$26*(D30/IF(CashLeaseResults!$D$22=0,1,CashLeaseResults!$D$22))+CashLeaseResults!$E$26*(E30/IF(CashLeaseResults!$E$22=0,1,CashLeaseResults!$E$22))+CashLeaseResults!$F$26*(F30/IF(CashLeaseResults!$F$22=0,1,CashLeaseResults!$F$22))+CashLeaseResults!$G$26*(G30/IF(CashLeaseResults!$G$22=0,1,CashLeaseResults!$G$22))+CashLeaseResults!$H$26*(H30/IF(CashLeaseResults!$H$22=0,1,CashLeaseResults!$H$22))</f>
        <v>38.64600679643042</v>
      </c>
      <c r="J30" s="52"/>
      <c r="K30" s="50"/>
    </row>
    <row r="31" spans="1:11" ht="13.5" customHeight="1">
      <c r="A31" s="120"/>
      <c r="B31" s="52" t="s">
        <v>84</v>
      </c>
      <c r="C31" s="82">
        <f aca="true" t="shared" si="3" ref="C31:H31">C30*(1+$C$24)</f>
        <v>42.84</v>
      </c>
      <c r="D31" s="80">
        <f t="shared" si="3"/>
        <v>28.560000000000002</v>
      </c>
      <c r="E31" s="80">
        <f t="shared" si="3"/>
        <v>22.44</v>
      </c>
      <c r="F31" s="80">
        <f t="shared" si="3"/>
        <v>53.04</v>
      </c>
      <c r="G31" s="80">
        <f t="shared" si="3"/>
        <v>0</v>
      </c>
      <c r="H31" s="80">
        <f t="shared" si="3"/>
        <v>0</v>
      </c>
      <c r="I31" s="81">
        <f>CashLeaseResults!$C$26*(C31/IF(CashLeaseResults!$C$22=0,1,CashLeaseResults!$C$22))+CashLeaseResults!$D$26*(D31/IF(CashLeaseResults!$D$22=0,1,CashLeaseResults!$D$22))+CashLeaseResults!$E$26*(E31/IF(CashLeaseResults!$E$22=0,1,CashLeaseResults!$E$22))+CashLeaseResults!$F$26*(F31/IF(CashLeaseResults!$F$22=0,1,CashLeaseResults!$F$22))+CashLeaseResults!$G$26*(G31/IF(CashLeaseResults!$G$22=0,1,CashLeaseResults!$G$22))+CashLeaseResults!$H$26*(H31/IF(CashLeaseResults!$H$22=0,1,CashLeaseResults!$H$22))</f>
        <v>39.41892693235903</v>
      </c>
      <c r="J31" s="52"/>
      <c r="K31" s="50"/>
    </row>
    <row r="32" spans="1:11" ht="13.5" customHeight="1">
      <c r="A32" s="120"/>
      <c r="B32" s="52" t="s">
        <v>85</v>
      </c>
      <c r="C32" s="82">
        <f aca="true" t="shared" si="4" ref="C32:H32">C30*(1+(2*$C$24))</f>
        <v>43.68</v>
      </c>
      <c r="D32" s="80">
        <f t="shared" si="4"/>
        <v>29.12</v>
      </c>
      <c r="E32" s="80">
        <f t="shared" si="4"/>
        <v>22.880000000000003</v>
      </c>
      <c r="F32" s="80">
        <f t="shared" si="4"/>
        <v>54.08</v>
      </c>
      <c r="G32" s="80">
        <f t="shared" si="4"/>
        <v>0</v>
      </c>
      <c r="H32" s="80">
        <f t="shared" si="4"/>
        <v>0</v>
      </c>
      <c r="I32" s="81">
        <f>CashLeaseResults!$C$26*(C32/IF(CashLeaseResults!$C$22=0,1,CashLeaseResults!$C$22))+CashLeaseResults!$D$26*(D32/IF(CashLeaseResults!$D$22=0,1,CashLeaseResults!$D$22))+CashLeaseResults!$E$26*(E32/IF(CashLeaseResults!$E$22=0,1,CashLeaseResults!$E$22))+CashLeaseResults!$F$26*(F32/IF(CashLeaseResults!$F$22=0,1,CashLeaseResults!$F$22))+CashLeaseResults!$G$26*(G32/IF(CashLeaseResults!$G$22=0,1,CashLeaseResults!$G$22))+CashLeaseResults!$H$26*(H32/IF(CashLeaseResults!$H$22=0,1,CashLeaseResults!$H$22))</f>
        <v>40.191847068287636</v>
      </c>
      <c r="J32" s="52"/>
      <c r="K32" s="50"/>
    </row>
    <row r="33" spans="1:11" ht="13.5" customHeight="1">
      <c r="A33" s="120"/>
      <c r="B33" s="87" t="s">
        <v>86</v>
      </c>
      <c r="C33" s="88">
        <f aca="true" t="shared" si="5" ref="C33:H33">C30*(1+(3*$C$24))</f>
        <v>44.52</v>
      </c>
      <c r="D33" s="89">
        <f t="shared" si="5"/>
        <v>29.68</v>
      </c>
      <c r="E33" s="89">
        <f t="shared" si="5"/>
        <v>23.32</v>
      </c>
      <c r="F33" s="89">
        <f t="shared" si="5"/>
        <v>55.120000000000005</v>
      </c>
      <c r="G33" s="89">
        <f t="shared" si="5"/>
        <v>0</v>
      </c>
      <c r="H33" s="89">
        <f t="shared" si="5"/>
        <v>0</v>
      </c>
      <c r="I33" s="90">
        <f>CashLeaseResults!$C$26*(C33/IF(CashLeaseResults!$C$22=0,1,CashLeaseResults!$C$22))+CashLeaseResults!$D$26*(D33/IF(CashLeaseResults!$D$22=0,1,CashLeaseResults!$D$22))+CashLeaseResults!$E$26*(E33/IF(CashLeaseResults!$E$22=0,1,CashLeaseResults!$E$22))+CashLeaseResults!$F$26*(F33/IF(CashLeaseResults!$F$22=0,1,CashLeaseResults!$F$22))+CashLeaseResults!$G$26*(G33/IF(CashLeaseResults!$G$22=0,1,CashLeaseResults!$G$22))+CashLeaseResults!$H$26*(H33/IF(CashLeaseResults!$H$22=0,1,CashLeaseResults!$H$22))</f>
        <v>40.964767204216244</v>
      </c>
      <c r="J33" s="52"/>
      <c r="K33" s="50"/>
    </row>
    <row r="34" spans="1:11" ht="13.5" customHeight="1">
      <c r="A34" s="120"/>
      <c r="B34" s="52"/>
      <c r="C34" s="52"/>
      <c r="D34" s="52"/>
      <c r="E34" s="52"/>
      <c r="F34" s="52"/>
      <c r="G34" s="52"/>
      <c r="H34" s="52"/>
      <c r="I34" s="52"/>
      <c r="J34" s="52"/>
      <c r="K34" s="50"/>
    </row>
    <row r="35" spans="1:11" ht="18" customHeight="1">
      <c r="A35" s="120"/>
      <c r="B35" s="271" t="s">
        <v>216</v>
      </c>
      <c r="C35" s="272"/>
      <c r="D35" s="272"/>
      <c r="E35" s="272"/>
      <c r="F35" s="272"/>
      <c r="G35" s="272"/>
      <c r="H35" s="272"/>
      <c r="I35" s="272"/>
      <c r="J35" s="274"/>
      <c r="K35" s="50"/>
    </row>
    <row r="36" spans="1:11" ht="13.5" customHeight="1">
      <c r="A36" s="120"/>
      <c r="B36" s="52"/>
      <c r="C36" s="52"/>
      <c r="D36" s="52"/>
      <c r="E36" s="52"/>
      <c r="F36" s="52"/>
      <c r="G36" s="52"/>
      <c r="H36" s="52"/>
      <c r="I36" s="52"/>
      <c r="J36" s="50"/>
      <c r="K36" s="50"/>
    </row>
    <row r="37" spans="1:11" ht="13.5" customHeight="1">
      <c r="A37" s="120"/>
      <c r="B37" s="52"/>
      <c r="C37" s="52"/>
      <c r="D37" s="52"/>
      <c r="E37" s="52"/>
      <c r="F37" s="52"/>
      <c r="G37" s="52"/>
      <c r="H37" s="52"/>
      <c r="I37" s="52"/>
      <c r="J37" s="50"/>
      <c r="K37" s="50"/>
    </row>
    <row r="38" spans="1:11" ht="13.5" customHeight="1">
      <c r="A38" s="120"/>
      <c r="B38" s="52" t="s">
        <v>87</v>
      </c>
      <c r="C38" s="52"/>
      <c r="D38" s="52"/>
      <c r="E38" s="52"/>
      <c r="F38" s="52"/>
      <c r="G38" s="52"/>
      <c r="H38" s="337" t="s">
        <v>89</v>
      </c>
      <c r="I38" s="73"/>
      <c r="J38" s="50"/>
      <c r="K38" s="50"/>
    </row>
    <row r="39" spans="1:11" ht="13.5" customHeight="1">
      <c r="A39" s="120"/>
      <c r="B39" s="52" t="s">
        <v>102</v>
      </c>
      <c r="C39" s="52"/>
      <c r="D39" s="52"/>
      <c r="E39" s="52"/>
      <c r="F39" s="52"/>
      <c r="G39" s="52"/>
      <c r="H39" s="59" t="s">
        <v>107</v>
      </c>
      <c r="I39" s="52"/>
      <c r="J39" s="50"/>
      <c r="K39" s="50"/>
    </row>
    <row r="40" spans="1:11" ht="10.5" customHeight="1">
      <c r="A40" s="120"/>
      <c r="B40" s="52"/>
      <c r="C40" s="52"/>
      <c r="D40" s="52"/>
      <c r="E40" s="52"/>
      <c r="F40" s="52"/>
      <c r="G40" s="52"/>
      <c r="H40" s="52"/>
      <c r="I40" s="52"/>
      <c r="J40" s="50"/>
      <c r="K40" s="50"/>
    </row>
    <row r="41" spans="1:11" ht="10.5" customHeight="1">
      <c r="A41" s="120"/>
      <c r="B41" s="338"/>
      <c r="C41" s="339"/>
      <c r="D41" s="339"/>
      <c r="E41" s="339"/>
      <c r="F41" s="339"/>
      <c r="G41" s="340"/>
      <c r="H41" s="339"/>
      <c r="I41" s="339"/>
      <c r="J41" s="232"/>
      <c r="K41" s="232"/>
    </row>
    <row r="42" spans="1:11" ht="13.5" customHeight="1">
      <c r="A42" s="120"/>
      <c r="B42" s="52"/>
      <c r="C42" s="56" t="s">
        <v>88</v>
      </c>
      <c r="D42" s="52"/>
      <c r="E42" s="52"/>
      <c r="F42" s="52"/>
      <c r="G42" s="52"/>
      <c r="H42" s="52"/>
      <c r="I42" s="52"/>
      <c r="J42" s="52"/>
      <c r="K42" s="52"/>
    </row>
    <row r="43" spans="1:11" ht="13.5" customHeight="1">
      <c r="A43" s="120"/>
      <c r="B43" s="52"/>
      <c r="C43" s="300" t="str">
        <f>CashLeaseResults!C19</f>
        <v>Winter Wheat</v>
      </c>
      <c r="D43" s="296" t="str">
        <f>CashLeaseResults!D19</f>
        <v>Spring Wheat</v>
      </c>
      <c r="E43" s="296" t="str">
        <f>CashLeaseResults!E19</f>
        <v>Durum</v>
      </c>
      <c r="F43" s="296" t="str">
        <f>CashLeaseResults!F19</f>
        <v>Malt Barley</v>
      </c>
      <c r="G43" s="296" t="str">
        <f>CashLeaseResults!G19</f>
        <v>Summer Fallow</v>
      </c>
      <c r="H43" s="298" t="str">
        <f>CashLeaseResults!H19</f>
        <v>Not Used</v>
      </c>
      <c r="I43" s="52"/>
      <c r="J43" s="52"/>
      <c r="K43" s="52"/>
    </row>
    <row r="44" spans="1:11" ht="13.5" customHeight="1">
      <c r="A44" s="120"/>
      <c r="B44" s="50"/>
      <c r="C44" s="301"/>
      <c r="D44" s="297"/>
      <c r="E44" s="297"/>
      <c r="F44" s="297"/>
      <c r="G44" s="297"/>
      <c r="H44" s="299"/>
      <c r="I44" s="91"/>
      <c r="J44" s="52"/>
      <c r="K44" s="52"/>
    </row>
    <row r="45" spans="1:11" ht="13.5" customHeight="1">
      <c r="A45" s="120"/>
      <c r="B45" s="216" t="s">
        <v>89</v>
      </c>
      <c r="C45" s="217">
        <v>7.5</v>
      </c>
      <c r="D45" s="218">
        <v>9</v>
      </c>
      <c r="E45" s="218">
        <v>10.5</v>
      </c>
      <c r="F45" s="219">
        <v>11.5</v>
      </c>
      <c r="G45" s="218">
        <v>0</v>
      </c>
      <c r="H45" s="218">
        <v>0</v>
      </c>
      <c r="I45" s="92"/>
      <c r="J45" s="52"/>
      <c r="K45" s="52"/>
    </row>
    <row r="46" spans="1:11" ht="13.5" customHeight="1">
      <c r="A46" s="120"/>
      <c r="B46" s="52" t="s">
        <v>90</v>
      </c>
      <c r="C46" s="74">
        <f>IF(CashLeaseResults!$C$23&lt;=0,0,C45/CashLeaseResults!$C$23)</f>
        <v>0.8823529411764706</v>
      </c>
      <c r="D46" s="74">
        <f>IF(CashLeaseResults!D23&lt;=0,0,D45/CashLeaseResults!D23)</f>
        <v>0.9473684210526315</v>
      </c>
      <c r="E46" s="74">
        <f>IF(CashLeaseResults!E23&lt;=0,0,E45/CashLeaseResults!E23)</f>
        <v>1.05</v>
      </c>
      <c r="F46" s="74">
        <f>IF(CashLeaseResults!F23&lt;=0,0,F45/CashLeaseResults!F23)</f>
        <v>1.0952380952380953</v>
      </c>
      <c r="G46" s="74">
        <f>IF(CashLeaseResults!G23&lt;=0,0,G45/CashLeaseResults!G23)</f>
        <v>0</v>
      </c>
      <c r="H46" s="74">
        <f>IF(CashLeaseResults!H23&lt;=0,0,H45/CashLeaseResults!H23)</f>
        <v>0</v>
      </c>
      <c r="J46" s="52"/>
      <c r="K46" s="52"/>
    </row>
    <row r="47" spans="1:11" ht="13.5" customHeight="1">
      <c r="A47" s="120"/>
      <c r="B47" s="52"/>
      <c r="C47" s="52"/>
      <c r="D47" s="52"/>
      <c r="E47" s="52"/>
      <c r="F47" s="52"/>
      <c r="G47" s="52"/>
      <c r="H47" s="335" t="s">
        <v>241</v>
      </c>
      <c r="I47" s="75">
        <f>CashLeaseResults!C26*C46+CashLeaseResults!D26*D46+CashLeaseResults!E26*E46+CashLeaseResults!F26*F46+CashLeaseResults!G26*G46+CashLeaseResults!H26*H46</f>
        <v>38.217156624307854</v>
      </c>
      <c r="J47" s="52"/>
      <c r="K47" s="52"/>
    </row>
    <row r="48" spans="1:11" ht="13.5" customHeight="1">
      <c r="A48" s="120"/>
      <c r="B48" s="52"/>
      <c r="C48" s="52"/>
      <c r="D48" s="52"/>
      <c r="E48" s="52"/>
      <c r="F48" s="52"/>
      <c r="G48" s="52"/>
      <c r="H48" s="334" t="s">
        <v>109</v>
      </c>
      <c r="I48" s="148">
        <f>+I47*CashLeaseResults!I28</f>
        <v>95542.89156076964</v>
      </c>
      <c r="J48" s="52"/>
      <c r="K48" s="52"/>
    </row>
    <row r="49" spans="1:11" ht="13.5" customHeight="1">
      <c r="A49" s="120"/>
      <c r="B49" s="52"/>
      <c r="C49" s="52"/>
      <c r="D49" s="52"/>
      <c r="E49" s="52"/>
      <c r="F49" s="52"/>
      <c r="G49" s="52"/>
      <c r="H49" s="52"/>
      <c r="I49" s="52"/>
      <c r="J49" s="52"/>
      <c r="K49" s="52"/>
    </row>
    <row r="50" spans="1:11" ht="13.5" customHeight="1">
      <c r="A50" s="120"/>
      <c r="B50" s="52" t="s">
        <v>74</v>
      </c>
      <c r="C50" s="52"/>
      <c r="D50" s="76" t="s">
        <v>99</v>
      </c>
      <c r="E50" s="76"/>
      <c r="F50" s="76"/>
      <c r="G50" s="76"/>
      <c r="H50" s="76"/>
      <c r="I50" s="59" t="s">
        <v>239</v>
      </c>
      <c r="J50" s="52"/>
      <c r="K50" s="52"/>
    </row>
    <row r="51" spans="1:11" ht="13.5" customHeight="1">
      <c r="A51" s="120"/>
      <c r="B51" s="52" t="s">
        <v>91</v>
      </c>
      <c r="C51" s="341">
        <v>0.05</v>
      </c>
      <c r="D51" s="76" t="s">
        <v>76</v>
      </c>
      <c r="E51" s="76"/>
      <c r="F51" s="76"/>
      <c r="G51" s="76"/>
      <c r="H51" s="76"/>
      <c r="I51" s="336" t="s">
        <v>238</v>
      </c>
      <c r="J51" s="52"/>
      <c r="K51" s="52"/>
    </row>
    <row r="52" spans="1:11" ht="13.5" customHeight="1">
      <c r="A52" s="120"/>
      <c r="B52" s="52"/>
      <c r="C52" s="300" t="str">
        <f>CashLeaseResults!C19</f>
        <v>Winter Wheat</v>
      </c>
      <c r="D52" s="296" t="str">
        <f>CashLeaseResults!D19</f>
        <v>Spring Wheat</v>
      </c>
      <c r="E52" s="296" t="str">
        <f>CashLeaseResults!E19</f>
        <v>Durum</v>
      </c>
      <c r="F52" s="296" t="str">
        <f>CashLeaseResults!F19</f>
        <v>Malt Barley</v>
      </c>
      <c r="G52" s="296" t="str">
        <f>CashLeaseResults!G19</f>
        <v>Summer Fallow</v>
      </c>
      <c r="H52" s="298" t="str">
        <f>CashLeaseResults!H19</f>
        <v>Not Used</v>
      </c>
      <c r="I52" s="59" t="s">
        <v>77</v>
      </c>
      <c r="J52" s="52"/>
      <c r="K52" s="52"/>
    </row>
    <row r="53" spans="1:11" ht="13.5" customHeight="1">
      <c r="A53" s="120"/>
      <c r="B53" s="77" t="s">
        <v>92</v>
      </c>
      <c r="C53" s="301"/>
      <c r="D53" s="297"/>
      <c r="E53" s="297"/>
      <c r="F53" s="297"/>
      <c r="G53" s="297"/>
      <c r="H53" s="299"/>
      <c r="I53" s="78" t="s">
        <v>93</v>
      </c>
      <c r="J53" s="52"/>
      <c r="K53" s="52"/>
    </row>
    <row r="54" spans="1:11" ht="13.5" customHeight="1">
      <c r="A54" s="120"/>
      <c r="B54" s="52" t="s">
        <v>80</v>
      </c>
      <c r="C54" s="93">
        <f aca="true" t="shared" si="6" ref="C54:H54">C57*(1-(3*$C$51))</f>
        <v>7.225</v>
      </c>
      <c r="D54" s="94">
        <f t="shared" si="6"/>
        <v>8.075</v>
      </c>
      <c r="E54" s="94">
        <f t="shared" si="6"/>
        <v>8.5</v>
      </c>
      <c r="F54" s="94">
        <f t="shared" si="6"/>
        <v>8.924999999999999</v>
      </c>
      <c r="G54" s="94">
        <f t="shared" si="6"/>
        <v>0</v>
      </c>
      <c r="H54" s="95">
        <f t="shared" si="6"/>
        <v>0</v>
      </c>
      <c r="I54" s="96">
        <f>CashLeaseResults!$C$26*(C54/IF(CashLeaseResults!$C$23=0,1,CashLeaseResults!$C$23))+CashLeaseResults!$D$26*(D54/IF(CashLeaseResults!$D$23=0,1,CashLeaseResults!$D$23))+CashLeaseResults!$E$26*(E54/IF(CashLeaseResults!$E$23=0,1,CashLeaseResults!$E$23))+CashLeaseResults!$F$26*(F54/IF(CashLeaseResults!$F$23=0,1,CashLeaseResults!$F$23))+CashLeaseResults!$G$26*(G54/IF(CashLeaseResults!$G$23=0,1,CashLeaseResults!$G$23))+CashLeaseResults!$H$26*(H54/IF(CashLeaseResults!$H$23=0,1,CashLeaseResults!$H$23))</f>
        <v>32.84910577696586</v>
      </c>
      <c r="J54" s="52"/>
      <c r="K54" s="52"/>
    </row>
    <row r="55" spans="1:11" ht="13.5" customHeight="1">
      <c r="A55" s="120"/>
      <c r="B55" s="52" t="s">
        <v>81</v>
      </c>
      <c r="C55" s="97">
        <f aca="true" t="shared" si="7" ref="C55:H55">C57*(1-(2*$C$51))</f>
        <v>7.65</v>
      </c>
      <c r="D55" s="98">
        <f t="shared" si="7"/>
        <v>8.55</v>
      </c>
      <c r="E55" s="98">
        <f t="shared" si="7"/>
        <v>9</v>
      </c>
      <c r="F55" s="98">
        <f t="shared" si="7"/>
        <v>9.450000000000001</v>
      </c>
      <c r="G55" s="98">
        <f t="shared" si="7"/>
        <v>0</v>
      </c>
      <c r="H55" s="99">
        <f t="shared" si="7"/>
        <v>0</v>
      </c>
      <c r="I55" s="96">
        <f>CashLeaseResults!$C$26*(C55/IF(CashLeaseResults!$C$23=0,1,CashLeaseResults!$C$23))+CashLeaseResults!$D$26*(D55/IF(CashLeaseResults!$D$23=0,1,CashLeaseResults!$D$23))+CashLeaseResults!$E$26*(E55/IF(CashLeaseResults!$E$23=0,1,CashLeaseResults!$E$23))+CashLeaseResults!$F$26*(F55/IF(CashLeaseResults!$F$23=0,1,CashLeaseResults!$F$23))+CashLeaseResults!$G$26*(G55/IF(CashLeaseResults!$G$23=0,1,CashLeaseResults!$G$23))+CashLeaseResults!$H$26*(H55/IF(CashLeaseResults!$H$23=0,1,CashLeaseResults!$H$23))</f>
        <v>34.78140611678738</v>
      </c>
      <c r="J55" s="52"/>
      <c r="K55" s="52"/>
    </row>
    <row r="56" spans="1:11" ht="13.5" customHeight="1">
      <c r="A56" s="120"/>
      <c r="B56" s="52" t="s">
        <v>82</v>
      </c>
      <c r="C56" s="97">
        <f aca="true" t="shared" si="8" ref="C56:H56">C57*(1-$C$51)</f>
        <v>8.075</v>
      </c>
      <c r="D56" s="98">
        <f t="shared" si="8"/>
        <v>9.025</v>
      </c>
      <c r="E56" s="98">
        <f t="shared" si="8"/>
        <v>9.5</v>
      </c>
      <c r="F56" s="98">
        <f t="shared" si="8"/>
        <v>9.975</v>
      </c>
      <c r="G56" s="98">
        <f t="shared" si="8"/>
        <v>0</v>
      </c>
      <c r="H56" s="99">
        <f t="shared" si="8"/>
        <v>0</v>
      </c>
      <c r="I56" s="96">
        <f>CashLeaseResults!$C$26*(C56/IF(CashLeaseResults!$C$23=0,1,CashLeaseResults!$C$23))+CashLeaseResults!$D$26*(D56/IF(CashLeaseResults!$D$23=0,1,CashLeaseResults!$D$23))+CashLeaseResults!$E$26*(E56/IF(CashLeaseResults!$E$23=0,1,CashLeaseResults!$E$23))+CashLeaseResults!$F$26*(F56/IF(CashLeaseResults!$F$23=0,1,CashLeaseResults!$F$23))+CashLeaseResults!$G$26*(G56/IF(CashLeaseResults!$G$23=0,1,CashLeaseResults!$G$23))+CashLeaseResults!$H$26*(H56/IF(CashLeaseResults!$H$23=0,1,CashLeaseResults!$H$23))</f>
        <v>36.713706456608904</v>
      </c>
      <c r="J56" s="52"/>
      <c r="K56" s="52"/>
    </row>
    <row r="57" spans="1:11" ht="13.5" customHeight="1">
      <c r="A57" s="120"/>
      <c r="B57" s="83" t="s">
        <v>94</v>
      </c>
      <c r="C57" s="100">
        <f>CashLeaseResults!C23</f>
        <v>8.5</v>
      </c>
      <c r="D57" s="101">
        <f>CashLeaseResults!D23</f>
        <v>9.5</v>
      </c>
      <c r="E57" s="101">
        <f>CashLeaseResults!E23</f>
        <v>10</v>
      </c>
      <c r="F57" s="102">
        <f>CashLeaseResults!F23</f>
        <v>10.5</v>
      </c>
      <c r="G57" s="101">
        <f>CashLeaseResults!G23</f>
        <v>0</v>
      </c>
      <c r="H57" s="103">
        <f>CashLeaseResults!H23</f>
        <v>0</v>
      </c>
      <c r="I57" s="104">
        <f>CashLeaseResults!$C$26*(C57/IF(CashLeaseResults!$C$23=0,1,CashLeaseResults!$C$23))+CashLeaseResults!$D$26*(D57/IF(CashLeaseResults!$D$23=0,1,CashLeaseResults!$D$23))+CashLeaseResults!$E$26*(E57/IF(CashLeaseResults!$E$23=0,1,CashLeaseResults!$E$23))+CashLeaseResults!$F$26*(F57/IF(CashLeaseResults!$F$23=0,1,CashLeaseResults!$F$23))+CashLeaseResults!$G$26*(G57/IF(CashLeaseResults!$G$23=0,1,CashLeaseResults!$G$23))+CashLeaseResults!$H$26*(H57/IF(CashLeaseResults!$H$23=0,1,CashLeaseResults!$H$23))</f>
        <v>38.64600679643042</v>
      </c>
      <c r="J57" s="52"/>
      <c r="K57" s="52"/>
    </row>
    <row r="58" spans="1:11" ht="13.5" customHeight="1">
      <c r="A58" s="120"/>
      <c r="B58" s="52" t="s">
        <v>84</v>
      </c>
      <c r="C58" s="97">
        <f aca="true" t="shared" si="9" ref="C58:H58">C57*(1+$C$51)</f>
        <v>8.925</v>
      </c>
      <c r="D58" s="98">
        <f t="shared" si="9"/>
        <v>9.975</v>
      </c>
      <c r="E58" s="98">
        <f t="shared" si="9"/>
        <v>10.5</v>
      </c>
      <c r="F58" s="98">
        <f t="shared" si="9"/>
        <v>11.025</v>
      </c>
      <c r="G58" s="98">
        <f t="shared" si="9"/>
        <v>0</v>
      </c>
      <c r="H58" s="99">
        <f t="shared" si="9"/>
        <v>0</v>
      </c>
      <c r="I58" s="96">
        <f>CashLeaseResults!$C$26*(C58/IF(CashLeaseResults!$C$23=0,1,CashLeaseResults!$C$23))+CashLeaseResults!$D$26*(D58/IF(CashLeaseResults!$D$23=0,1,CashLeaseResults!$D$23))+CashLeaseResults!$E$26*(E58/IF(CashLeaseResults!$E$23=0,1,CashLeaseResults!$E$23))+CashLeaseResults!$F$26*(F58/IF(CashLeaseResults!$F$23=0,1,CashLeaseResults!$F$23))+CashLeaseResults!$G$26*(G58/IF(CashLeaseResults!$G$23=0,1,CashLeaseResults!$G$23))+CashLeaseResults!$H$26*(H58/IF(CashLeaseResults!$H$23=0,1,CashLeaseResults!$H$23))</f>
        <v>40.578307136251944</v>
      </c>
      <c r="J58" s="52"/>
      <c r="K58" s="52"/>
    </row>
    <row r="59" spans="1:11" ht="13.5" customHeight="1">
      <c r="A59" s="120"/>
      <c r="B59" s="52" t="s">
        <v>85</v>
      </c>
      <c r="C59" s="97">
        <f aca="true" t="shared" si="10" ref="C59:H59">C57*(1+(2*$C$51))</f>
        <v>9.350000000000001</v>
      </c>
      <c r="D59" s="98">
        <f t="shared" si="10"/>
        <v>10.450000000000001</v>
      </c>
      <c r="E59" s="98">
        <f t="shared" si="10"/>
        <v>11</v>
      </c>
      <c r="F59" s="98">
        <f t="shared" si="10"/>
        <v>11.55</v>
      </c>
      <c r="G59" s="98">
        <f t="shared" si="10"/>
        <v>0</v>
      </c>
      <c r="H59" s="99">
        <f t="shared" si="10"/>
        <v>0</v>
      </c>
      <c r="I59" s="96">
        <f>CashLeaseResults!$C$26*(C59/IF(CashLeaseResults!$C$23=0,1,CashLeaseResults!$C$23))+CashLeaseResults!$D$26*(D59/IF(CashLeaseResults!$D$23=0,1,CashLeaseResults!$D$23))+CashLeaseResults!$E$26*(E59/IF(CashLeaseResults!$E$23=0,1,CashLeaseResults!$E$23))+CashLeaseResults!$F$26*(F59/IF(CashLeaseResults!$F$23=0,1,CashLeaseResults!$F$23))+CashLeaseResults!$G$26*(G59/IF(CashLeaseResults!$G$23=0,1,CashLeaseResults!$G$23))+CashLeaseResults!$H$26*(H59/IF(CashLeaseResults!$H$23=0,1,CashLeaseResults!$H$23))</f>
        <v>42.51060747607347</v>
      </c>
      <c r="J59" s="52"/>
      <c r="K59" s="52"/>
    </row>
    <row r="60" spans="1:11" ht="13.5" customHeight="1">
      <c r="A60" s="120"/>
      <c r="B60" s="105" t="s">
        <v>86</v>
      </c>
      <c r="C60" s="106">
        <f aca="true" t="shared" si="11" ref="C60:H60">C57*(1+(3*$C$51))</f>
        <v>9.774999999999999</v>
      </c>
      <c r="D60" s="107">
        <f t="shared" si="11"/>
        <v>10.924999999999999</v>
      </c>
      <c r="E60" s="107">
        <f t="shared" si="11"/>
        <v>11.5</v>
      </c>
      <c r="F60" s="107">
        <f t="shared" si="11"/>
        <v>12.075</v>
      </c>
      <c r="G60" s="107">
        <f t="shared" si="11"/>
        <v>0</v>
      </c>
      <c r="H60" s="108">
        <f t="shared" si="11"/>
        <v>0</v>
      </c>
      <c r="I60" s="109">
        <f>CashLeaseResults!$C$26*(C60/IF(CashLeaseResults!$C$23=0,1,CashLeaseResults!$C$23))+CashLeaseResults!$D$26*(D60/IF(CashLeaseResults!$D$23=0,1,CashLeaseResults!$D$23))+CashLeaseResults!$E$26*(E60/IF(CashLeaseResults!$E$23=0,1,CashLeaseResults!$E$23))+CashLeaseResults!$F$26*(F60/IF(CashLeaseResults!$F$23=0,1,CashLeaseResults!$F$23))+CashLeaseResults!$G$26*(G60/IF(CashLeaseResults!$G$23=0,1,CashLeaseResults!$G$23))+CashLeaseResults!$H$26*(H60/IF(CashLeaseResults!$H$23=0,1,CashLeaseResults!$H$23))</f>
        <v>44.44290781589498</v>
      </c>
      <c r="J60" s="52"/>
      <c r="K60" s="52"/>
    </row>
    <row r="61" spans="1:11" ht="13.5" customHeight="1">
      <c r="A61" s="120"/>
      <c r="B61" s="52"/>
      <c r="C61" s="52"/>
      <c r="D61" s="52"/>
      <c r="E61" s="52"/>
      <c r="F61" s="52"/>
      <c r="G61" s="52"/>
      <c r="H61" s="52"/>
      <c r="I61" s="52"/>
      <c r="J61" s="52"/>
      <c r="K61" s="52"/>
    </row>
    <row r="62" spans="1:11" ht="17.25" customHeight="1">
      <c r="A62" s="120"/>
      <c r="B62" s="271" t="s">
        <v>215</v>
      </c>
      <c r="C62" s="272"/>
      <c r="D62" s="272"/>
      <c r="E62" s="272"/>
      <c r="F62" s="272"/>
      <c r="G62" s="272"/>
      <c r="H62" s="272"/>
      <c r="I62" s="272"/>
      <c r="J62" s="274"/>
      <c r="K62" s="52"/>
    </row>
    <row r="63" spans="1:11" ht="13.5" customHeight="1">
      <c r="A63" s="120"/>
      <c r="B63" s="52"/>
      <c r="C63" s="56"/>
      <c r="D63" s="52"/>
      <c r="E63" s="52"/>
      <c r="F63" s="52"/>
      <c r="G63" s="52"/>
      <c r="H63" s="52"/>
      <c r="I63" s="59"/>
      <c r="J63" s="52"/>
      <c r="K63" s="52"/>
    </row>
    <row r="64" spans="1:11" ht="13.5" customHeight="1">
      <c r="A64" s="120"/>
      <c r="B64" s="52"/>
      <c r="C64" s="300" t="str">
        <f>CashLeaseResults!C19</f>
        <v>Winter Wheat</v>
      </c>
      <c r="D64" s="296" t="str">
        <f>CashLeaseResults!D19</f>
        <v>Spring Wheat</v>
      </c>
      <c r="E64" s="296" t="str">
        <f>CashLeaseResults!E19</f>
        <v>Durum</v>
      </c>
      <c r="F64" s="296" t="str">
        <f>CashLeaseResults!F19</f>
        <v>Malt Barley</v>
      </c>
      <c r="G64" s="296" t="str">
        <f>CashLeaseResults!G19</f>
        <v>Summer Fallow</v>
      </c>
      <c r="H64" s="298" t="str">
        <f>CashLeaseResults!H19</f>
        <v>Not Used</v>
      </c>
      <c r="I64" s="59"/>
      <c r="J64" s="52"/>
      <c r="K64" s="52"/>
    </row>
    <row r="65" spans="1:11" ht="13.5" customHeight="1">
      <c r="A65" s="120"/>
      <c r="B65" s="52"/>
      <c r="C65" s="301"/>
      <c r="D65" s="297"/>
      <c r="E65" s="297"/>
      <c r="F65" s="297"/>
      <c r="G65" s="297"/>
      <c r="H65" s="299"/>
      <c r="I65" s="59"/>
      <c r="J65" s="52"/>
      <c r="K65" s="52"/>
    </row>
    <row r="66" spans="1:11" ht="13.5" customHeight="1">
      <c r="A66" s="120"/>
      <c r="B66" s="228" t="s">
        <v>72</v>
      </c>
      <c r="C66" s="220">
        <f>C18</f>
        <v>35</v>
      </c>
      <c r="D66" s="221">
        <f>D18</f>
        <v>30</v>
      </c>
      <c r="E66" s="221">
        <f>E18</f>
        <v>22</v>
      </c>
      <c r="F66" s="222">
        <f>F18</f>
        <v>55</v>
      </c>
      <c r="G66" s="221">
        <f>G18</f>
        <v>0</v>
      </c>
      <c r="H66" s="223">
        <f>H18</f>
        <v>0</v>
      </c>
      <c r="I66" s="59"/>
      <c r="J66" s="52"/>
      <c r="K66" s="52"/>
    </row>
    <row r="67" spans="1:11" ht="13.5" customHeight="1">
      <c r="A67" s="120"/>
      <c r="B67" s="229" t="s">
        <v>89</v>
      </c>
      <c r="C67" s="224">
        <f aca="true" t="shared" si="12" ref="C67:H67">C45</f>
        <v>7.5</v>
      </c>
      <c r="D67" s="225">
        <f t="shared" si="12"/>
        <v>9</v>
      </c>
      <c r="E67" s="225">
        <f t="shared" si="12"/>
        <v>10.5</v>
      </c>
      <c r="F67" s="226">
        <f t="shared" si="12"/>
        <v>11.5</v>
      </c>
      <c r="G67" s="225">
        <f t="shared" si="12"/>
        <v>0</v>
      </c>
      <c r="H67" s="227">
        <f t="shared" si="12"/>
        <v>0</v>
      </c>
      <c r="I67" s="59"/>
      <c r="J67" s="52"/>
      <c r="K67" s="52"/>
    </row>
    <row r="68" spans="1:11" ht="13.5" customHeight="1">
      <c r="A68" s="120"/>
      <c r="B68" s="52" t="s">
        <v>73</v>
      </c>
      <c r="C68" s="74">
        <f>IF(CashLeaseResults!$C$22&lt;=0,0,C66/CashLeaseResults!$C$22)</f>
        <v>0.8333333333333334</v>
      </c>
      <c r="D68" s="74">
        <f>IF(CashLeaseResults!$D$22&lt;=0,0,D66/CashLeaseResults!$D$22)</f>
        <v>1.0714285714285714</v>
      </c>
      <c r="E68" s="74">
        <f>IF(CashLeaseResults!$E$22&lt;=0,0,E66/CashLeaseResults!$E$22)</f>
        <v>1</v>
      </c>
      <c r="F68" s="74">
        <f>IF(CashLeaseResults!$F$22&lt;=0,0,F18/CashLeaseResults!$F$22)</f>
        <v>1.0576923076923077</v>
      </c>
      <c r="G68" s="74">
        <f>IF(CashLeaseResults!$G$22&lt;=0,0,G66/CashLeaseResults!$G$22)</f>
        <v>0</v>
      </c>
      <c r="H68" s="74">
        <f>IF(CashLeaseResults!$H$22&lt;=0,0,H66/CashLeaseResults!$H$22)</f>
        <v>0</v>
      </c>
      <c r="I68" s="255"/>
      <c r="J68" s="52"/>
      <c r="K68" s="52"/>
    </row>
    <row r="69" spans="1:11" ht="13.5" customHeight="1">
      <c r="A69" s="120"/>
      <c r="B69" s="52" t="str">
        <f>B46</f>
        <v>Price Ratio</v>
      </c>
      <c r="C69" s="74">
        <f>IF(CashLeaseResults!$C$23&lt;=0,0,C67/CashLeaseResults!$C$23)</f>
        <v>0.8823529411764706</v>
      </c>
      <c r="D69" s="74">
        <f>IF(CashLeaseResults!$D$23&lt;=0,0,D67/CashLeaseResults!$D$23)</f>
        <v>0.9473684210526315</v>
      </c>
      <c r="E69" s="74">
        <f>IF(CashLeaseResults!$E$23&lt;=0,0,E67/CashLeaseResults!$E$23)</f>
        <v>1.05</v>
      </c>
      <c r="F69" s="74">
        <f>IF(CashLeaseResults!$E$23&lt;=0,0,F67/CashLeaseResults!$E$23)</f>
        <v>1.15</v>
      </c>
      <c r="G69" s="74">
        <f>IF(CashLeaseResults!$G$23&lt;=0,0,G67/CashLeaseResults!$G$23)</f>
        <v>0</v>
      </c>
      <c r="H69" s="74">
        <f>IF(CashLeaseResults!$H$23&lt;=0,0,H67/CashLeaseResults!$H$23)</f>
        <v>0</v>
      </c>
      <c r="J69" s="52"/>
      <c r="K69" s="52"/>
    </row>
    <row r="70" spans="1:11" ht="13.5" customHeight="1">
      <c r="A70" s="120"/>
      <c r="B70" s="52"/>
      <c r="C70" s="74"/>
      <c r="D70" s="74"/>
      <c r="E70" s="74"/>
      <c r="F70" s="111"/>
      <c r="G70" s="74"/>
      <c r="H70" s="335" t="s">
        <v>242</v>
      </c>
      <c r="I70" s="110">
        <f>CashLeaseResults!C26*C68*C69+CashLeaseResults!D26*D68*D69+CashLeaseResults!E26*E68*E69+CashLeaseResults!F26*F68*F69+CashLeaseResults!G26*G68*G69+CashLeaseResults!H26*H68*H69</f>
        <v>38.95059161588509</v>
      </c>
      <c r="J70" s="52"/>
      <c r="K70" s="52"/>
    </row>
    <row r="71" spans="1:11" ht="13.5" customHeight="1">
      <c r="A71" s="120"/>
      <c r="B71" s="52"/>
      <c r="C71" s="52"/>
      <c r="D71" s="52"/>
      <c r="E71" s="52"/>
      <c r="F71" s="52"/>
      <c r="G71" s="52"/>
      <c r="H71" s="71" t="s">
        <v>109</v>
      </c>
      <c r="I71" s="149">
        <f>I70*CashLeaseResults!I28</f>
        <v>97376.47903971272</v>
      </c>
      <c r="J71" s="52"/>
      <c r="K71" s="52"/>
    </row>
    <row r="72" spans="1:11" ht="7.5" customHeight="1">
      <c r="A72" s="120"/>
      <c r="I72" s="52"/>
      <c r="J72" s="52"/>
      <c r="K72" s="52"/>
    </row>
    <row r="73" spans="1:11" ht="13.5" customHeight="1">
      <c r="A73" s="120"/>
      <c r="B73" s="52"/>
      <c r="C73" s="52" t="s">
        <v>104</v>
      </c>
      <c r="D73" s="52"/>
      <c r="E73" s="52"/>
      <c r="F73" s="52"/>
      <c r="G73" s="52"/>
      <c r="H73" s="52"/>
      <c r="I73" s="50"/>
      <c r="J73" s="50"/>
      <c r="K73" s="50"/>
    </row>
    <row r="74" spans="1:11" ht="13.5" customHeight="1">
      <c r="A74" s="120"/>
      <c r="B74" s="50"/>
      <c r="C74" s="112" t="s">
        <v>105</v>
      </c>
      <c r="D74" s="50"/>
      <c r="E74" s="113" t="s">
        <v>72</v>
      </c>
      <c r="F74" s="50"/>
      <c r="G74" s="113" t="s">
        <v>89</v>
      </c>
      <c r="H74" s="50"/>
      <c r="I74" s="50"/>
      <c r="J74" s="50"/>
      <c r="K74" s="50"/>
    </row>
    <row r="75" spans="1:11" ht="13.5" customHeight="1">
      <c r="A75" s="120"/>
      <c r="B75" s="50"/>
      <c r="C75" s="112" t="s">
        <v>108</v>
      </c>
      <c r="D75" s="50"/>
      <c r="E75" s="112" t="s">
        <v>106</v>
      </c>
      <c r="F75" s="50"/>
      <c r="G75" s="112" t="s">
        <v>107</v>
      </c>
      <c r="H75" s="50"/>
      <c r="I75" s="50"/>
      <c r="J75" s="50"/>
      <c r="K75" s="50"/>
    </row>
    <row r="76" spans="1:11" ht="6.75" customHeight="1">
      <c r="A76" s="120"/>
      <c r="B76" s="50"/>
      <c r="C76" s="50"/>
      <c r="D76" s="50"/>
      <c r="E76" s="50"/>
      <c r="F76" s="50"/>
      <c r="G76" s="50"/>
      <c r="H76" s="50"/>
      <c r="I76" s="50"/>
      <c r="J76" s="50"/>
      <c r="K76" s="50"/>
    </row>
    <row r="77" ht="13.5" customHeight="1"/>
    <row r="78" ht="13.5" customHeight="1"/>
  </sheetData>
  <sheetProtection sheet="1" formatCells="0" formatColumns="0" formatRows="0"/>
  <mergeCells count="30">
    <mergeCell ref="C25:C26"/>
    <mergeCell ref="D25:D26"/>
    <mergeCell ref="E25:E26"/>
    <mergeCell ref="F25:F26"/>
    <mergeCell ref="G16:G17"/>
    <mergeCell ref="H16:H17"/>
    <mergeCell ref="C16:C17"/>
    <mergeCell ref="D16:D17"/>
    <mergeCell ref="E16:E17"/>
    <mergeCell ref="F16:F17"/>
    <mergeCell ref="C43:C44"/>
    <mergeCell ref="D43:D44"/>
    <mergeCell ref="E43:E44"/>
    <mergeCell ref="F43:F44"/>
    <mergeCell ref="G52:G53"/>
    <mergeCell ref="H52:H53"/>
    <mergeCell ref="G64:G65"/>
    <mergeCell ref="H64:H65"/>
    <mergeCell ref="G25:G26"/>
    <mergeCell ref="H25:H26"/>
    <mergeCell ref="G43:G44"/>
    <mergeCell ref="H43:H44"/>
    <mergeCell ref="E64:E65"/>
    <mergeCell ref="F64:F65"/>
    <mergeCell ref="E52:E53"/>
    <mergeCell ref="F52:F53"/>
    <mergeCell ref="C52:C53"/>
    <mergeCell ref="D52:D53"/>
    <mergeCell ref="C64:C65"/>
    <mergeCell ref="D64:D65"/>
  </mergeCells>
  <printOptions/>
  <pageMargins left="0.7" right="0.7" top="0.75" bottom="0.75" header="0.3" footer="0.3"/>
  <pageSetup fitToHeight="1" fitToWidth="1" orientation="portrait" scale="66"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T84"/>
  <sheetViews>
    <sheetView showGridLines="0" zoomScalePageLayoutView="0" workbookViewId="0" topLeftCell="A1">
      <selection activeCell="A1" sqref="A1"/>
    </sheetView>
  </sheetViews>
  <sheetFormatPr defaultColWidth="8.796875" defaultRowHeight="15"/>
  <cols>
    <col min="1" max="1" width="4.09765625" style="120" customWidth="1"/>
    <col min="2" max="4" width="12.69921875" style="0" customWidth="1"/>
    <col min="5" max="10" width="11.69921875" style="0" customWidth="1"/>
    <col min="13" max="13" width="11.69921875" style="0" customWidth="1"/>
    <col min="16" max="16" width="10.8984375" style="0" customWidth="1"/>
  </cols>
  <sheetData>
    <row r="1" spans="1:20" ht="15.75">
      <c r="A1" s="232"/>
      <c r="B1" s="50"/>
      <c r="C1" s="50"/>
      <c r="D1" s="50"/>
      <c r="E1" s="50"/>
      <c r="F1" s="50"/>
      <c r="G1" s="50"/>
      <c r="H1" s="50"/>
      <c r="I1" s="50"/>
      <c r="J1" s="50"/>
      <c r="K1" s="50"/>
      <c r="L1" s="50"/>
      <c r="M1" s="50"/>
      <c r="N1" s="50"/>
      <c r="O1" s="50"/>
      <c r="P1" s="50"/>
      <c r="Q1" s="50"/>
      <c r="R1" s="50"/>
      <c r="S1" s="50"/>
      <c r="T1" s="50"/>
    </row>
    <row r="2" spans="1:20" ht="16.5" thickBot="1">
      <c r="A2" s="232"/>
      <c r="B2" s="50"/>
      <c r="C2" s="50"/>
      <c r="D2" s="50"/>
      <c r="E2" s="258" t="str">
        <f>'Revenue&amp;FixedCosts'!C8</f>
        <v>Crop#1</v>
      </c>
      <c r="F2" s="208" t="str">
        <f>'Revenue&amp;FixedCosts'!D8</f>
        <v>Crop#2</v>
      </c>
      <c r="G2" s="208" t="str">
        <f>'Revenue&amp;FixedCosts'!E8</f>
        <v>Crop#3</v>
      </c>
      <c r="H2" s="208" t="str">
        <f>'Revenue&amp;FixedCosts'!F8</f>
        <v>Crop#4</v>
      </c>
      <c r="I2" s="208" t="str">
        <f>'Revenue&amp;FixedCosts'!G8</f>
        <v>Crop#5</v>
      </c>
      <c r="J2" s="208" t="str">
        <f>'Revenue&amp;FixedCosts'!H8</f>
        <v>Crop#6</v>
      </c>
      <c r="K2" s="50"/>
      <c r="L2" s="50"/>
      <c r="M2" s="50"/>
      <c r="N2" s="50"/>
      <c r="O2" s="50"/>
      <c r="P2" s="50"/>
      <c r="Q2" s="50"/>
      <c r="R2" s="50"/>
      <c r="S2" s="50"/>
      <c r="T2" s="50"/>
    </row>
    <row r="3" spans="1:20" ht="15.75">
      <c r="A3" s="232"/>
      <c r="B3" s="50"/>
      <c r="C3" s="50"/>
      <c r="D3" s="50"/>
      <c r="E3" s="292" t="str">
        <f>'Revenue&amp;FixedCosts'!C9</f>
        <v>Winter Wheat</v>
      </c>
      <c r="F3" s="290" t="str">
        <f>'Revenue&amp;FixedCosts'!D9</f>
        <v>Spring Wheat</v>
      </c>
      <c r="G3" s="290" t="str">
        <f>'Revenue&amp;FixedCosts'!E9</f>
        <v>Durum</v>
      </c>
      <c r="H3" s="290" t="str">
        <f>'Revenue&amp;FixedCosts'!F9</f>
        <v>Malt Barley</v>
      </c>
      <c r="I3" s="290" t="str">
        <f>'Revenue&amp;FixedCosts'!G9</f>
        <v>Summer Fallow</v>
      </c>
      <c r="J3" s="290" t="str">
        <f>'Revenue&amp;FixedCosts'!H9</f>
        <v>Not Used</v>
      </c>
      <c r="K3" s="50"/>
      <c r="L3" s="50"/>
      <c r="M3" s="50"/>
      <c r="N3" s="50"/>
      <c r="O3" s="50"/>
      <c r="P3" s="50"/>
      <c r="Q3" s="50"/>
      <c r="R3" s="50"/>
      <c r="S3" s="50"/>
      <c r="T3" s="50"/>
    </row>
    <row r="4" spans="1:20" ht="15.75">
      <c r="A4" s="232"/>
      <c r="B4" s="50"/>
      <c r="C4" s="50"/>
      <c r="D4" s="50"/>
      <c r="E4" s="293"/>
      <c r="F4" s="291"/>
      <c r="G4" s="291"/>
      <c r="H4" s="291"/>
      <c r="I4" s="291"/>
      <c r="J4" s="291"/>
      <c r="K4" s="50"/>
      <c r="L4" s="50"/>
      <c r="M4" s="50"/>
      <c r="N4" s="50"/>
      <c r="O4" s="50"/>
      <c r="P4" s="50"/>
      <c r="Q4" s="50"/>
      <c r="R4" s="50"/>
      <c r="S4" s="50"/>
      <c r="T4" s="50"/>
    </row>
    <row r="5" spans="1:20" ht="15.75">
      <c r="A5" s="232"/>
      <c r="B5" s="50"/>
      <c r="C5" s="50"/>
      <c r="D5" s="50" t="str">
        <f>'Revenue&amp;FixedCosts'!B12</f>
        <v>Expected Yield</v>
      </c>
      <c r="E5" s="259">
        <f>'Revenue&amp;FixedCosts'!C12</f>
        <v>42</v>
      </c>
      <c r="F5" s="209">
        <f>'Revenue&amp;FixedCosts'!D12</f>
        <v>28</v>
      </c>
      <c r="G5" s="209">
        <f>'Revenue&amp;FixedCosts'!E12</f>
        <v>22</v>
      </c>
      <c r="H5" s="209">
        <f>'Revenue&amp;FixedCosts'!F12</f>
        <v>52</v>
      </c>
      <c r="I5" s="209">
        <f>'Revenue&amp;FixedCosts'!G12</f>
        <v>0</v>
      </c>
      <c r="J5" s="209">
        <f>'Revenue&amp;FixedCosts'!H12</f>
        <v>0</v>
      </c>
      <c r="K5" s="50"/>
      <c r="L5" s="50"/>
      <c r="M5" s="50"/>
      <c r="N5" s="50"/>
      <c r="O5" s="50"/>
      <c r="P5" s="50"/>
      <c r="Q5" s="50"/>
      <c r="R5" s="50"/>
      <c r="S5" s="50"/>
      <c r="T5" s="50"/>
    </row>
    <row r="6" spans="1:20" ht="15.75">
      <c r="A6" s="232"/>
      <c r="B6" s="52" t="s">
        <v>120</v>
      </c>
      <c r="C6" s="52"/>
      <c r="D6" s="50" t="s">
        <v>199</v>
      </c>
      <c r="E6" s="260">
        <f>'Revenue&amp;FixedCosts'!$C$11</f>
        <v>400</v>
      </c>
      <c r="F6" s="209">
        <f>'Revenue&amp;FixedCosts'!D11</f>
        <v>750</v>
      </c>
      <c r="G6" s="209">
        <f>'Revenue&amp;FixedCosts'!E11</f>
        <v>500</v>
      </c>
      <c r="H6" s="209">
        <f>'Revenue&amp;FixedCosts'!F11</f>
        <v>300</v>
      </c>
      <c r="I6" s="209">
        <f>'Revenue&amp;FixedCosts'!G11</f>
        <v>550</v>
      </c>
      <c r="J6" s="209">
        <f>'Revenue&amp;FixedCosts'!H11</f>
        <v>0</v>
      </c>
      <c r="K6" s="1"/>
      <c r="L6" s="1"/>
      <c r="M6" s="1"/>
      <c r="N6" s="50"/>
      <c r="O6" s="50"/>
      <c r="P6" s="50"/>
      <c r="Q6" s="50"/>
      <c r="R6" s="50"/>
      <c r="S6" s="50"/>
      <c r="T6" s="50"/>
    </row>
    <row r="7" spans="1:20" ht="18.75">
      <c r="A7" s="232"/>
      <c r="B7" s="41" t="str">
        <f>'Revenue&amp;FixedCosts'!$C$9</f>
        <v>Winter Wheat</v>
      </c>
      <c r="C7" s="50"/>
      <c r="E7" s="18" t="s">
        <v>34</v>
      </c>
      <c r="F7" s="10"/>
      <c r="G7" s="10"/>
      <c r="H7" s="10"/>
      <c r="I7" s="10"/>
      <c r="J7" s="10"/>
      <c r="K7" s="5"/>
      <c r="L7" s="164"/>
      <c r="M7" s="164"/>
      <c r="N7" s="50"/>
      <c r="O7" s="50"/>
      <c r="P7" s="50"/>
      <c r="Q7" s="50"/>
      <c r="R7" s="50"/>
      <c r="S7" s="50"/>
      <c r="T7" s="50"/>
    </row>
    <row r="8" spans="1:20" ht="15" customHeight="1">
      <c r="A8" s="232"/>
      <c r="B8" s="10"/>
      <c r="C8" s="10"/>
      <c r="D8" s="10"/>
      <c r="E8" s="11"/>
      <c r="F8" s="14" t="s">
        <v>35</v>
      </c>
      <c r="G8" s="15" t="s">
        <v>36</v>
      </c>
      <c r="H8" s="15" t="s">
        <v>2</v>
      </c>
      <c r="I8" s="15" t="s">
        <v>3</v>
      </c>
      <c r="J8" s="15" t="s">
        <v>3</v>
      </c>
      <c r="K8" s="5"/>
      <c r="L8" s="164"/>
      <c r="M8" s="164"/>
      <c r="N8" s="50"/>
      <c r="O8" s="50"/>
      <c r="P8" s="50"/>
      <c r="Q8" s="50"/>
      <c r="R8" s="50"/>
      <c r="S8" s="50"/>
      <c r="T8" s="50"/>
    </row>
    <row r="9" spans="1:20" ht="15" customHeight="1">
      <c r="A9" s="232"/>
      <c r="B9" s="7"/>
      <c r="C9" s="7"/>
      <c r="D9" s="7"/>
      <c r="E9" s="12"/>
      <c r="F9" s="13" t="s">
        <v>37</v>
      </c>
      <c r="G9" s="9" t="s">
        <v>37</v>
      </c>
      <c r="H9" s="9" t="s">
        <v>7</v>
      </c>
      <c r="I9" s="265" t="s">
        <v>7</v>
      </c>
      <c r="J9" s="266" t="s">
        <v>6</v>
      </c>
      <c r="K9" s="5"/>
      <c r="L9" s="164"/>
      <c r="M9" s="164"/>
      <c r="N9" s="50"/>
      <c r="O9" s="50"/>
      <c r="P9" s="50"/>
      <c r="Q9" s="50"/>
      <c r="R9" s="50"/>
      <c r="S9" s="50"/>
      <c r="T9" s="50"/>
    </row>
    <row r="10" spans="1:20" ht="15" customHeight="1">
      <c r="A10" s="232"/>
      <c r="B10" s="41" t="s">
        <v>159</v>
      </c>
      <c r="C10" s="7"/>
      <c r="D10" s="7"/>
      <c r="E10" s="19" t="s">
        <v>38</v>
      </c>
      <c r="F10" s="13" t="s">
        <v>39</v>
      </c>
      <c r="G10" s="9" t="s">
        <v>39</v>
      </c>
      <c r="H10" s="9" t="s">
        <v>9</v>
      </c>
      <c r="I10" s="9" t="s">
        <v>9</v>
      </c>
      <c r="J10" s="9" t="s">
        <v>9</v>
      </c>
      <c r="K10" s="5"/>
      <c r="L10" s="164"/>
      <c r="M10" s="164"/>
      <c r="N10" s="50"/>
      <c r="O10" s="50"/>
      <c r="P10" s="50"/>
      <c r="Q10" s="50"/>
      <c r="R10" s="50"/>
      <c r="S10" s="50"/>
      <c r="T10" s="50"/>
    </row>
    <row r="11" spans="1:20" ht="15.75">
      <c r="A11" s="232"/>
      <c r="B11" s="10"/>
      <c r="C11" s="10"/>
      <c r="D11" s="10"/>
      <c r="E11" s="158"/>
      <c r="F11" s="158"/>
      <c r="G11" s="158"/>
      <c r="H11" s="158"/>
      <c r="I11" s="158"/>
      <c r="J11" s="158"/>
      <c r="K11" s="5"/>
      <c r="L11" s="164"/>
      <c r="M11" s="164"/>
      <c r="N11" s="50"/>
      <c r="O11" s="50"/>
      <c r="P11" s="50"/>
      <c r="Q11" s="50"/>
      <c r="R11" s="50"/>
      <c r="S11" s="50"/>
      <c r="T11" s="50"/>
    </row>
    <row r="12" spans="1:20" ht="15.75">
      <c r="A12" s="232"/>
      <c r="B12" s="30" t="s">
        <v>139</v>
      </c>
      <c r="C12" s="7"/>
      <c r="D12" s="7"/>
      <c r="E12" s="140" t="s">
        <v>40</v>
      </c>
      <c r="F12" s="205">
        <v>8.5</v>
      </c>
      <c r="G12" s="133">
        <v>1.25</v>
      </c>
      <c r="H12" s="141">
        <v>1</v>
      </c>
      <c r="I12" s="152">
        <f aca="true" t="shared" si="0" ref="I12:I21">F12*G12*H12*$E$6</f>
        <v>4250</v>
      </c>
      <c r="J12" s="152">
        <f aca="true" t="shared" si="1" ref="J12:J21">F12*G12*(1-H12)*$E$6</f>
        <v>0</v>
      </c>
      <c r="K12" s="5"/>
      <c r="L12" s="164"/>
      <c r="M12" s="164"/>
      <c r="N12" s="50"/>
      <c r="O12" s="50"/>
      <c r="P12" s="50"/>
      <c r="Q12" s="50"/>
      <c r="R12" s="50"/>
      <c r="S12" s="50"/>
      <c r="T12" s="50"/>
    </row>
    <row r="13" spans="1:20" ht="15.75">
      <c r="A13" s="232"/>
      <c r="B13" s="30" t="s">
        <v>140</v>
      </c>
      <c r="C13" s="21"/>
      <c r="D13" s="233"/>
      <c r="E13" s="140" t="s">
        <v>41</v>
      </c>
      <c r="F13" s="205">
        <v>24.5</v>
      </c>
      <c r="G13" s="133">
        <v>1</v>
      </c>
      <c r="H13" s="141">
        <v>1</v>
      </c>
      <c r="I13" s="152">
        <f t="shared" si="0"/>
        <v>9800</v>
      </c>
      <c r="J13" s="152">
        <f t="shared" si="1"/>
        <v>0</v>
      </c>
      <c r="K13" s="5"/>
      <c r="L13" s="164"/>
      <c r="M13" s="164"/>
      <c r="N13" s="50"/>
      <c r="O13" s="50"/>
      <c r="P13" s="50"/>
      <c r="Q13" s="50"/>
      <c r="R13" s="50"/>
      <c r="S13" s="50"/>
      <c r="T13" s="50"/>
    </row>
    <row r="14" spans="1:20" ht="15.75">
      <c r="A14" s="232"/>
      <c r="B14" s="202"/>
      <c r="C14" s="203"/>
      <c r="D14" s="8"/>
      <c r="E14" s="140" t="s">
        <v>41</v>
      </c>
      <c r="F14" s="205">
        <v>0</v>
      </c>
      <c r="G14" s="133">
        <v>1</v>
      </c>
      <c r="H14" s="141">
        <v>1</v>
      </c>
      <c r="I14" s="152">
        <f t="shared" si="0"/>
        <v>0</v>
      </c>
      <c r="J14" s="152">
        <f t="shared" si="1"/>
        <v>0</v>
      </c>
      <c r="K14" s="5"/>
      <c r="L14" s="164"/>
      <c r="M14" s="164"/>
      <c r="N14" s="50"/>
      <c r="O14" s="50"/>
      <c r="P14" s="50"/>
      <c r="Q14" s="50"/>
      <c r="R14" s="50"/>
      <c r="S14" s="50"/>
      <c r="T14" s="50"/>
    </row>
    <row r="15" spans="1:20" ht="15.75">
      <c r="A15" s="232"/>
      <c r="B15" s="202"/>
      <c r="C15" s="203"/>
      <c r="D15" s="8"/>
      <c r="E15" s="140" t="s">
        <v>41</v>
      </c>
      <c r="F15" s="205">
        <v>0</v>
      </c>
      <c r="G15" s="133">
        <v>1</v>
      </c>
      <c r="H15" s="141">
        <v>1</v>
      </c>
      <c r="I15" s="152">
        <f t="shared" si="0"/>
        <v>0</v>
      </c>
      <c r="J15" s="152">
        <f t="shared" si="1"/>
        <v>0</v>
      </c>
      <c r="K15" s="5"/>
      <c r="L15" s="164"/>
      <c r="M15" s="164"/>
      <c r="N15" s="50"/>
      <c r="O15" s="50"/>
      <c r="P15" s="234" t="s">
        <v>184</v>
      </c>
      <c r="Q15" s="50"/>
      <c r="R15" s="50"/>
      <c r="S15" s="50"/>
      <c r="T15" s="50"/>
    </row>
    <row r="16" spans="1:20" ht="15.75">
      <c r="A16" s="232"/>
      <c r="B16" s="30" t="s">
        <v>162</v>
      </c>
      <c r="C16" s="7"/>
      <c r="D16" s="21"/>
      <c r="E16" s="140" t="s">
        <v>42</v>
      </c>
      <c r="F16" s="205">
        <v>0</v>
      </c>
      <c r="G16" s="133">
        <v>1</v>
      </c>
      <c r="H16" s="141">
        <v>1</v>
      </c>
      <c r="I16" s="152">
        <f t="shared" si="0"/>
        <v>0</v>
      </c>
      <c r="J16" s="152">
        <f t="shared" si="1"/>
        <v>0</v>
      </c>
      <c r="K16" s="5"/>
      <c r="L16" s="164"/>
      <c r="M16" s="164"/>
      <c r="N16" s="50"/>
      <c r="O16" s="50"/>
      <c r="P16" s="235" t="s">
        <v>185</v>
      </c>
      <c r="Q16" s="50"/>
      <c r="R16" s="50"/>
      <c r="S16" s="50"/>
      <c r="T16" s="50"/>
    </row>
    <row r="17" spans="1:20" ht="15.75">
      <c r="A17" s="232"/>
      <c r="B17" s="30" t="s">
        <v>141</v>
      </c>
      <c r="C17" s="21"/>
      <c r="D17" s="233"/>
      <c r="E17" s="140" t="s">
        <v>174</v>
      </c>
      <c r="F17" s="205">
        <v>0</v>
      </c>
      <c r="G17" s="133">
        <v>1</v>
      </c>
      <c r="H17" s="141">
        <v>0</v>
      </c>
      <c r="I17" s="152">
        <f t="shared" si="0"/>
        <v>0</v>
      </c>
      <c r="J17" s="152">
        <f t="shared" si="1"/>
        <v>0</v>
      </c>
      <c r="K17" s="5"/>
      <c r="L17" s="164"/>
      <c r="M17" s="164"/>
      <c r="N17" s="50"/>
      <c r="O17" s="50"/>
      <c r="P17" s="236" t="s">
        <v>186</v>
      </c>
      <c r="Q17" s="50"/>
      <c r="R17" s="50"/>
      <c r="S17" s="50"/>
      <c r="T17" s="50"/>
    </row>
    <row r="18" spans="1:20" ht="15.75">
      <c r="A18" s="232"/>
      <c r="B18" s="202"/>
      <c r="C18" s="203" t="s">
        <v>176</v>
      </c>
      <c r="D18" s="20"/>
      <c r="E18" s="140" t="s">
        <v>174</v>
      </c>
      <c r="F18" s="205">
        <v>550</v>
      </c>
      <c r="G18" s="133">
        <v>0.024</v>
      </c>
      <c r="H18" s="141">
        <v>0.754</v>
      </c>
      <c r="I18" s="152">
        <f t="shared" si="0"/>
        <v>3981.120000000001</v>
      </c>
      <c r="J18" s="152">
        <f t="shared" si="1"/>
        <v>1298.88</v>
      </c>
      <c r="K18" s="5"/>
      <c r="L18" s="164"/>
      <c r="M18" s="164"/>
      <c r="N18" s="199" t="s">
        <v>176</v>
      </c>
      <c r="O18" s="251">
        <v>0.024038461538461543</v>
      </c>
      <c r="P18" s="237">
        <f>2000*O18</f>
        <v>48.07692307692309</v>
      </c>
      <c r="Q18" s="50"/>
      <c r="R18" s="50"/>
      <c r="S18" s="50"/>
      <c r="T18" s="50"/>
    </row>
    <row r="19" spans="1:20" ht="15.75">
      <c r="A19" s="232"/>
      <c r="B19" s="202"/>
      <c r="C19" s="203" t="s">
        <v>175</v>
      </c>
      <c r="D19" s="8"/>
      <c r="E19" s="140" t="s">
        <v>197</v>
      </c>
      <c r="F19" s="205">
        <v>0.4</v>
      </c>
      <c r="G19" s="133">
        <v>105</v>
      </c>
      <c r="H19" s="141">
        <v>0.754</v>
      </c>
      <c r="I19" s="152">
        <f t="shared" si="0"/>
        <v>12667.199999999999</v>
      </c>
      <c r="J19" s="152">
        <f t="shared" si="1"/>
        <v>4132.8</v>
      </c>
      <c r="K19" s="5"/>
      <c r="L19" s="164"/>
      <c r="M19" s="164" t="s">
        <v>181</v>
      </c>
      <c r="N19" s="112">
        <f>2000*0.11</f>
        <v>220</v>
      </c>
      <c r="O19" s="238">
        <f>N19*$O$18</f>
        <v>5.288461538461539</v>
      </c>
      <c r="P19" s="50"/>
      <c r="Q19" s="50"/>
      <c r="R19" s="50"/>
      <c r="S19" s="50"/>
      <c r="T19" s="50"/>
    </row>
    <row r="20" spans="1:20" ht="15.75">
      <c r="A20" s="232"/>
      <c r="B20" s="30" t="s">
        <v>163</v>
      </c>
      <c r="C20" s="7"/>
      <c r="D20" s="7"/>
      <c r="E20" s="140" t="s">
        <v>42</v>
      </c>
      <c r="F20" s="205">
        <v>4</v>
      </c>
      <c r="G20" s="133">
        <v>1</v>
      </c>
      <c r="H20" s="141">
        <v>1</v>
      </c>
      <c r="I20" s="152">
        <f t="shared" si="0"/>
        <v>1600</v>
      </c>
      <c r="J20" s="152">
        <f t="shared" si="1"/>
        <v>0</v>
      </c>
      <c r="K20" s="5"/>
      <c r="L20" s="164"/>
      <c r="M20" s="164" t="s">
        <v>182</v>
      </c>
      <c r="N20" s="112">
        <f>2000*0.52</f>
        <v>1040</v>
      </c>
      <c r="O20" s="238">
        <f>N20*$O$18</f>
        <v>25.000000000000004</v>
      </c>
      <c r="P20" s="50"/>
      <c r="Q20" s="50"/>
      <c r="R20" s="50"/>
      <c r="S20" s="50"/>
      <c r="T20" s="50"/>
    </row>
    <row r="21" spans="1:20" ht="15.75">
      <c r="A21" s="232"/>
      <c r="B21" s="30" t="s">
        <v>142</v>
      </c>
      <c r="C21" s="7"/>
      <c r="D21" s="7"/>
      <c r="E21" s="140" t="s">
        <v>42</v>
      </c>
      <c r="F21" s="205">
        <v>17</v>
      </c>
      <c r="G21" s="133">
        <v>1</v>
      </c>
      <c r="H21" s="141">
        <v>1</v>
      </c>
      <c r="I21" s="152">
        <f t="shared" si="0"/>
        <v>6800</v>
      </c>
      <c r="J21" s="152">
        <f t="shared" si="1"/>
        <v>0</v>
      </c>
      <c r="K21" s="5"/>
      <c r="L21" s="164"/>
      <c r="M21" s="201" t="s">
        <v>183</v>
      </c>
      <c r="N21" s="113">
        <f>2000-(N19+N20)</f>
        <v>740</v>
      </c>
      <c r="O21" s="238">
        <f>N21*$O$18</f>
        <v>17.788461538461544</v>
      </c>
      <c r="P21" s="50"/>
      <c r="Q21" s="50"/>
      <c r="R21" s="50"/>
      <c r="S21" s="50"/>
      <c r="T21" s="50"/>
    </row>
    <row r="22" spans="1:20" ht="15.75">
      <c r="A22" s="232"/>
      <c r="B22" s="30" t="s">
        <v>177</v>
      </c>
      <c r="C22" s="7"/>
      <c r="D22" s="7"/>
      <c r="E22" s="239"/>
      <c r="F22" s="240"/>
      <c r="G22" s="241"/>
      <c r="H22" s="242"/>
      <c r="I22" s="157"/>
      <c r="J22" s="157"/>
      <c r="K22" s="5"/>
      <c r="L22" s="164"/>
      <c r="M22" s="164" t="s">
        <v>187</v>
      </c>
      <c r="N22" s="112">
        <f>SUM(N19:N21)</f>
        <v>2000</v>
      </c>
      <c r="O22" s="50"/>
      <c r="P22" s="50"/>
      <c r="Q22" s="50"/>
      <c r="R22" s="50"/>
      <c r="S22" s="50"/>
      <c r="T22" s="50"/>
    </row>
    <row r="23" spans="1:20" ht="15.75">
      <c r="A23" s="232"/>
      <c r="B23" s="6" t="s">
        <v>137</v>
      </c>
      <c r="C23" s="7"/>
      <c r="D23" s="7"/>
      <c r="E23" s="140" t="s">
        <v>41</v>
      </c>
      <c r="F23" s="205">
        <f>(7706+6652+2221+385+333+111)/4500</f>
        <v>3.8684444444444446</v>
      </c>
      <c r="G23" s="133">
        <v>1</v>
      </c>
      <c r="H23" s="141">
        <v>1</v>
      </c>
      <c r="I23" s="152">
        <f>F23*G23*H23*$E$6</f>
        <v>1547.3777777777777</v>
      </c>
      <c r="J23" s="152">
        <f>F23*G23*(1-H23)*$E$6</f>
        <v>0</v>
      </c>
      <c r="K23" s="5"/>
      <c r="L23" s="164"/>
      <c r="M23" s="164" t="s">
        <v>188</v>
      </c>
      <c r="N23" s="250">
        <v>400</v>
      </c>
      <c r="O23" s="50"/>
      <c r="P23" s="50"/>
      <c r="Q23" s="50"/>
      <c r="R23" s="50"/>
      <c r="S23" s="50"/>
      <c r="T23" s="50"/>
    </row>
    <row r="24" spans="1:20" ht="15.75">
      <c r="A24" s="232"/>
      <c r="B24" s="6" t="s">
        <v>138</v>
      </c>
      <c r="C24" s="7"/>
      <c r="D24" s="7"/>
      <c r="E24" s="140" t="s">
        <v>41</v>
      </c>
      <c r="F24" s="205">
        <f>(1168+1911+947+1425)/4500</f>
        <v>1.2113333333333334</v>
      </c>
      <c r="G24" s="133">
        <v>1</v>
      </c>
      <c r="H24" s="141">
        <v>1</v>
      </c>
      <c r="I24" s="152">
        <f>F24*G24*H24*$E$6</f>
        <v>484.53333333333336</v>
      </c>
      <c r="J24" s="152">
        <f>F24*G24*(1-H24)*$E$6</f>
        <v>0</v>
      </c>
      <c r="K24" s="5"/>
      <c r="L24" s="164"/>
      <c r="M24" s="50"/>
      <c r="N24" s="200">
        <f>N23/2000</f>
        <v>0.2</v>
      </c>
      <c r="O24" s="164" t="s">
        <v>189</v>
      </c>
      <c r="P24" s="50"/>
      <c r="Q24" s="50"/>
      <c r="R24" s="50"/>
      <c r="S24" s="50"/>
      <c r="T24" s="50"/>
    </row>
    <row r="25" spans="1:20" ht="15.75">
      <c r="A25" s="232"/>
      <c r="B25" s="30" t="s">
        <v>143</v>
      </c>
      <c r="C25" s="7"/>
      <c r="D25" s="7"/>
      <c r="E25" s="239"/>
      <c r="F25" s="240"/>
      <c r="G25" s="241"/>
      <c r="H25" s="242"/>
      <c r="I25" s="157"/>
      <c r="J25" s="157"/>
      <c r="K25" s="5"/>
      <c r="L25" s="164"/>
      <c r="M25" s="164"/>
      <c r="N25" s="50"/>
      <c r="O25" s="50"/>
      <c r="P25" s="50"/>
      <c r="Q25" s="50"/>
      <c r="R25" s="50"/>
      <c r="S25" s="50"/>
      <c r="T25" s="50"/>
    </row>
    <row r="26" spans="1:20" ht="15.75">
      <c r="A26" s="232"/>
      <c r="B26" s="6" t="s">
        <v>137</v>
      </c>
      <c r="C26" s="7"/>
      <c r="D26" s="7"/>
      <c r="E26" s="140" t="s">
        <v>41</v>
      </c>
      <c r="F26" s="205">
        <f>(2700+135+6738+2166+337+108)/4500</f>
        <v>2.7075555555555555</v>
      </c>
      <c r="G26" s="133">
        <v>1</v>
      </c>
      <c r="H26" s="141">
        <v>1</v>
      </c>
      <c r="I26" s="152">
        <f>F26*G26*H26*$E$6</f>
        <v>1083.0222222222221</v>
      </c>
      <c r="J26" s="152">
        <f>F26*G26*(1-H26)*$E$6</f>
        <v>0</v>
      </c>
      <c r="K26" s="5"/>
      <c r="L26" s="164"/>
      <c r="M26" s="164"/>
      <c r="N26" s="50"/>
      <c r="O26" s="50"/>
      <c r="P26" s="50"/>
      <c r="Q26" s="50"/>
      <c r="R26" s="50"/>
      <c r="S26" s="50"/>
      <c r="T26" s="50"/>
    </row>
    <row r="27" spans="1:20" ht="15.75">
      <c r="A27" s="232"/>
      <c r="B27" s="6" t="s">
        <v>138</v>
      </c>
      <c r="C27" s="7"/>
      <c r="D27" s="7"/>
      <c r="E27" s="140" t="s">
        <v>41</v>
      </c>
      <c r="F27" s="205">
        <f>(4957+7643+2917+804)/4500</f>
        <v>3.626888888888889</v>
      </c>
      <c r="G27" s="133">
        <v>1</v>
      </c>
      <c r="H27" s="141">
        <v>1</v>
      </c>
      <c r="I27" s="152">
        <f>F27*G27*H27*$E$6</f>
        <v>1450.7555555555555</v>
      </c>
      <c r="J27" s="152">
        <f>F27*G27*(1-H27)*$E$6</f>
        <v>0</v>
      </c>
      <c r="K27" s="5"/>
      <c r="L27" s="164"/>
      <c r="M27" s="164"/>
      <c r="N27" s="116" t="s">
        <v>175</v>
      </c>
      <c r="O27" s="50"/>
      <c r="P27" s="50"/>
      <c r="Q27" s="50"/>
      <c r="R27" s="50"/>
      <c r="S27" s="50"/>
      <c r="T27" s="50"/>
    </row>
    <row r="28" spans="1:20" ht="15.75">
      <c r="A28" s="232"/>
      <c r="B28" s="30" t="s">
        <v>144</v>
      </c>
      <c r="C28" s="7"/>
      <c r="D28" s="7"/>
      <c r="E28" s="239"/>
      <c r="F28" s="240" t="s">
        <v>44</v>
      </c>
      <c r="G28" s="241"/>
      <c r="H28" s="242"/>
      <c r="I28" s="157"/>
      <c r="J28" s="157"/>
      <c r="K28" s="5"/>
      <c r="L28" s="164"/>
      <c r="M28" s="164"/>
      <c r="N28" s="112">
        <f>2000*0.46</f>
        <v>920</v>
      </c>
      <c r="O28" s="50" t="s">
        <v>180</v>
      </c>
      <c r="P28" s="50"/>
      <c r="Q28" s="50"/>
      <c r="R28" s="50"/>
      <c r="S28" s="50"/>
      <c r="T28" s="50"/>
    </row>
    <row r="29" spans="1:20" ht="15.75">
      <c r="A29" s="232"/>
      <c r="B29" s="6" t="s">
        <v>151</v>
      </c>
      <c r="C29" s="7"/>
      <c r="D29" s="7"/>
      <c r="E29" s="140" t="s">
        <v>45</v>
      </c>
      <c r="F29" s="205">
        <v>0</v>
      </c>
      <c r="G29" s="133">
        <v>0</v>
      </c>
      <c r="H29" s="141">
        <v>1</v>
      </c>
      <c r="I29" s="152">
        <f>F29*G29*H29*$E$6</f>
        <v>0</v>
      </c>
      <c r="J29" s="152">
        <f>F29*G29*(1-H29)*$E$6</f>
        <v>0</v>
      </c>
      <c r="K29" s="5"/>
      <c r="L29" s="164"/>
      <c r="M29" s="164"/>
      <c r="N29" s="250">
        <v>350</v>
      </c>
      <c r="O29" s="50" t="s">
        <v>190</v>
      </c>
      <c r="P29" s="50"/>
      <c r="Q29" s="50"/>
      <c r="R29" s="50"/>
      <c r="S29" s="50"/>
      <c r="T29" s="50"/>
    </row>
    <row r="30" spans="1:20" ht="15.75">
      <c r="A30" s="232"/>
      <c r="B30" s="6" t="s">
        <v>152</v>
      </c>
      <c r="C30" s="7"/>
      <c r="D30" s="7"/>
      <c r="E30" s="140" t="s">
        <v>45</v>
      </c>
      <c r="F30" s="205">
        <v>0</v>
      </c>
      <c r="G30" s="133">
        <v>0</v>
      </c>
      <c r="H30" s="141">
        <v>1</v>
      </c>
      <c r="I30" s="152">
        <f>F30*G30*H30*$E$6</f>
        <v>0</v>
      </c>
      <c r="J30" s="152">
        <f>F30*G30*(1-H30)*$E$6</f>
        <v>0</v>
      </c>
      <c r="K30" s="5"/>
      <c r="L30" s="164"/>
      <c r="M30" s="164"/>
      <c r="N30" s="200">
        <f>N29/920</f>
        <v>0.3804347826086957</v>
      </c>
      <c r="O30" s="50" t="s">
        <v>191</v>
      </c>
      <c r="P30" s="50"/>
      <c r="Q30" s="50"/>
      <c r="R30" s="50"/>
      <c r="S30" s="50"/>
      <c r="T30" s="50"/>
    </row>
    <row r="31" spans="1:20" ht="15.75">
      <c r="A31" s="232"/>
      <c r="B31" s="6" t="s">
        <v>153</v>
      </c>
      <c r="C31" s="7"/>
      <c r="D31" s="7"/>
      <c r="E31" s="140" t="s">
        <v>45</v>
      </c>
      <c r="F31" s="205">
        <v>0</v>
      </c>
      <c r="G31" s="133">
        <v>0</v>
      </c>
      <c r="H31" s="161">
        <v>1</v>
      </c>
      <c r="I31" s="165">
        <f>F31*G31*H31*$E$6</f>
        <v>0</v>
      </c>
      <c r="J31" s="166">
        <f>F31*G31*(1-H31)*$E$6</f>
        <v>0</v>
      </c>
      <c r="K31" s="5"/>
      <c r="L31" s="164"/>
      <c r="M31" s="164"/>
      <c r="N31" s="50"/>
      <c r="O31" s="50"/>
      <c r="P31" s="50"/>
      <c r="Q31" s="50"/>
      <c r="R31" s="50"/>
      <c r="S31" s="50"/>
      <c r="T31" s="50"/>
    </row>
    <row r="32" spans="1:20" ht="15.75">
      <c r="A32" s="232"/>
      <c r="B32" s="30" t="s">
        <v>145</v>
      </c>
      <c r="C32" s="7"/>
      <c r="D32" s="7"/>
      <c r="E32" s="304"/>
      <c r="F32" s="304" t="s">
        <v>44</v>
      </c>
      <c r="G32" s="304"/>
      <c r="H32" s="304"/>
      <c r="I32" s="304"/>
      <c r="J32" s="303"/>
      <c r="K32" s="164"/>
      <c r="L32" s="164"/>
      <c r="M32" s="164"/>
      <c r="N32" s="50"/>
      <c r="O32" s="50"/>
      <c r="P32" s="50"/>
      <c r="Q32" s="50"/>
      <c r="R32" s="50"/>
      <c r="S32" s="50"/>
      <c r="T32" s="50"/>
    </row>
    <row r="33" spans="1:20" ht="15.75">
      <c r="A33" s="232"/>
      <c r="B33" s="6" t="s">
        <v>146</v>
      </c>
      <c r="C33" s="7"/>
      <c r="D33" s="7"/>
      <c r="E33" s="310" t="s">
        <v>45</v>
      </c>
      <c r="F33" s="311">
        <v>0</v>
      </c>
      <c r="G33" s="308">
        <v>1</v>
      </c>
      <c r="H33" s="305"/>
      <c r="I33" s="305"/>
      <c r="J33" s="159">
        <f>F33*G33*$E$6</f>
        <v>0</v>
      </c>
      <c r="K33" s="5"/>
      <c r="L33" s="164"/>
      <c r="M33" s="164"/>
      <c r="N33" s="50"/>
      <c r="O33" s="50"/>
      <c r="P33" s="50"/>
      <c r="Q33" s="50"/>
      <c r="R33" s="50"/>
      <c r="S33" s="50"/>
      <c r="T33" s="50"/>
    </row>
    <row r="34" spans="1:20" ht="15.75">
      <c r="A34" s="232"/>
      <c r="B34" s="6" t="s">
        <v>147</v>
      </c>
      <c r="C34" s="7"/>
      <c r="D34" s="7"/>
      <c r="E34" s="310" t="s">
        <v>45</v>
      </c>
      <c r="F34" s="311">
        <v>10</v>
      </c>
      <c r="G34" s="308">
        <v>0.4</v>
      </c>
      <c r="H34" s="305"/>
      <c r="I34" s="309">
        <f>F34*G34*$E$6</f>
        <v>1600</v>
      </c>
      <c r="J34" s="160"/>
      <c r="K34" s="5"/>
      <c r="L34" s="164"/>
      <c r="M34" s="164"/>
      <c r="N34" s="50"/>
      <c r="O34" s="50"/>
      <c r="P34" s="50"/>
      <c r="Q34" s="50"/>
      <c r="R34" s="50"/>
      <c r="S34" s="50"/>
      <c r="T34" s="50"/>
    </row>
    <row r="35" spans="1:20" ht="15.75">
      <c r="A35" s="232"/>
      <c r="B35" s="6" t="s">
        <v>148</v>
      </c>
      <c r="C35" s="7"/>
      <c r="D35" s="7"/>
      <c r="E35" s="310" t="s">
        <v>45</v>
      </c>
      <c r="F35" s="311">
        <v>0</v>
      </c>
      <c r="G35" s="308">
        <v>0.25</v>
      </c>
      <c r="H35" s="305"/>
      <c r="I35" s="309">
        <f>F35*G35*$E$6</f>
        <v>0</v>
      </c>
      <c r="J35" s="160"/>
      <c r="K35" s="5"/>
      <c r="L35" s="164"/>
      <c r="M35" s="164"/>
      <c r="N35" s="50"/>
      <c r="O35" s="50"/>
      <c r="P35" s="50"/>
      <c r="Q35" s="50"/>
      <c r="R35" s="50"/>
      <c r="S35" s="50"/>
      <c r="T35" s="50"/>
    </row>
    <row r="36" spans="1:20" ht="15.75">
      <c r="A36" s="232"/>
      <c r="B36" s="6" t="s">
        <v>149</v>
      </c>
      <c r="C36" s="7"/>
      <c r="D36" s="7"/>
      <c r="E36" s="310" t="s">
        <v>45</v>
      </c>
      <c r="F36" s="311">
        <v>0</v>
      </c>
      <c r="G36" s="308">
        <v>1</v>
      </c>
      <c r="H36" s="305"/>
      <c r="I36" s="309">
        <f>F36*G36*$E$6</f>
        <v>0</v>
      </c>
      <c r="J36" s="160"/>
      <c r="K36" s="5"/>
      <c r="L36" s="164"/>
      <c r="M36" s="164"/>
      <c r="N36" s="50"/>
      <c r="O36" s="50"/>
      <c r="P36" s="50"/>
      <c r="Q36" s="50"/>
      <c r="R36" s="50"/>
      <c r="S36" s="50"/>
      <c r="T36" s="50"/>
    </row>
    <row r="37" spans="1:20" ht="15.75">
      <c r="A37" s="232"/>
      <c r="B37" s="248" t="s">
        <v>164</v>
      </c>
      <c r="C37" s="8"/>
      <c r="D37" s="249"/>
      <c r="E37" s="310" t="s">
        <v>42</v>
      </c>
      <c r="F37" s="311">
        <v>0</v>
      </c>
      <c r="G37" s="308">
        <v>1</v>
      </c>
      <c r="H37" s="306">
        <v>1</v>
      </c>
      <c r="I37" s="309">
        <f>F37*G37*H37*$E$6</f>
        <v>0</v>
      </c>
      <c r="J37" s="159">
        <f>F37*G37*(1-H37)*$E$6</f>
        <v>0</v>
      </c>
      <c r="K37" s="5"/>
      <c r="L37" s="164"/>
      <c r="M37" s="164"/>
      <c r="N37" s="50"/>
      <c r="O37" s="50"/>
      <c r="P37" s="50"/>
      <c r="Q37" s="50"/>
      <c r="R37" s="50"/>
      <c r="S37" s="50"/>
      <c r="T37" s="50"/>
    </row>
    <row r="38" spans="1:20" ht="15.75">
      <c r="A38" s="232"/>
      <c r="B38" s="248" t="s">
        <v>165</v>
      </c>
      <c r="C38" s="8"/>
      <c r="D38" s="249"/>
      <c r="E38" s="310" t="s">
        <v>42</v>
      </c>
      <c r="F38" s="311">
        <v>0</v>
      </c>
      <c r="G38" s="308">
        <v>1</v>
      </c>
      <c r="H38" s="306">
        <v>1</v>
      </c>
      <c r="I38" s="309">
        <f>F38*G38*H38*$E$6</f>
        <v>0</v>
      </c>
      <c r="J38" s="159">
        <f>F38*G38*(1-H38)*$E$6</f>
        <v>0</v>
      </c>
      <c r="K38" s="5"/>
      <c r="L38" s="164"/>
      <c r="M38" s="164"/>
      <c r="N38" s="50"/>
      <c r="O38" s="50"/>
      <c r="P38" s="50"/>
      <c r="Q38" s="50"/>
      <c r="R38" s="50"/>
      <c r="S38" s="50"/>
      <c r="T38" s="50"/>
    </row>
    <row r="39" spans="1:20" ht="15.75">
      <c r="A39" s="232"/>
      <c r="B39" s="30" t="s">
        <v>150</v>
      </c>
      <c r="C39" s="7"/>
      <c r="D39" s="7"/>
      <c r="E39" s="310" t="s">
        <v>46</v>
      </c>
      <c r="F39" s="305"/>
      <c r="G39" s="305"/>
      <c r="H39" s="305"/>
      <c r="I39" s="309">
        <f>(SUM(I12:I31)+I37+I38)*'Revenue&amp;FixedCosts'!$D$17/12*$F$40</f>
        <v>1528.2403111111112</v>
      </c>
      <c r="J39" s="159">
        <f>(SUM(J12:J31)+J37+J38)*'Revenue&amp;FixedCosts'!$D$17/12*$F$40</f>
        <v>190.10880000000003</v>
      </c>
      <c r="K39" s="5"/>
      <c r="L39" s="164"/>
      <c r="M39" s="164"/>
      <c r="N39" s="50"/>
      <c r="O39" s="50"/>
      <c r="P39" s="50"/>
      <c r="Q39" s="50"/>
      <c r="R39" s="50"/>
      <c r="S39" s="50"/>
      <c r="T39" s="50"/>
    </row>
    <row r="40" spans="1:20" ht="15.75">
      <c r="A40" s="232"/>
      <c r="B40" s="6" t="s">
        <v>158</v>
      </c>
      <c r="C40" s="7"/>
      <c r="D40" s="7"/>
      <c r="E40" s="307"/>
      <c r="F40" s="312">
        <v>6</v>
      </c>
      <c r="G40" s="307"/>
      <c r="H40" s="307"/>
      <c r="I40" s="307"/>
      <c r="J40" s="163"/>
      <c r="K40" s="5"/>
      <c r="L40" s="164"/>
      <c r="M40" s="164"/>
      <c r="N40" s="50"/>
      <c r="O40" s="50"/>
      <c r="P40" s="50"/>
      <c r="Q40" s="50"/>
      <c r="R40" s="50"/>
      <c r="S40" s="50"/>
      <c r="T40" s="50"/>
    </row>
    <row r="41" spans="1:20" ht="18.75">
      <c r="A41" s="232"/>
      <c r="B41" s="136" t="s">
        <v>160</v>
      </c>
      <c r="C41" s="10"/>
      <c r="D41" s="10"/>
      <c r="E41" s="304"/>
      <c r="F41" s="304"/>
      <c r="G41" s="304"/>
      <c r="H41" s="304"/>
      <c r="I41" s="267" t="s">
        <v>7</v>
      </c>
      <c r="J41" s="268" t="s">
        <v>6</v>
      </c>
      <c r="K41" s="164"/>
      <c r="L41" s="164"/>
      <c r="M41" s="164"/>
      <c r="N41" s="50"/>
      <c r="O41" s="50"/>
      <c r="P41" s="50"/>
      <c r="Q41" s="50"/>
      <c r="R41" s="50"/>
      <c r="S41" s="50"/>
      <c r="T41" s="50"/>
    </row>
    <row r="42" spans="1:20" ht="15.75">
      <c r="A42" s="232"/>
      <c r="B42" s="30" t="s">
        <v>154</v>
      </c>
      <c r="C42" s="7"/>
      <c r="D42" s="7"/>
      <c r="E42" s="315"/>
      <c r="F42" s="316"/>
      <c r="G42" s="318"/>
      <c r="H42" s="319"/>
      <c r="I42" s="320"/>
      <c r="J42" s="320"/>
      <c r="K42" s="164"/>
      <c r="L42" s="164"/>
      <c r="M42" s="164"/>
      <c r="N42" s="50"/>
      <c r="O42" s="50"/>
      <c r="P42" s="50"/>
      <c r="Q42" s="50"/>
      <c r="R42" s="50"/>
      <c r="S42" s="50"/>
      <c r="T42" s="50"/>
    </row>
    <row r="43" spans="1:20" ht="15.75">
      <c r="A43" s="232"/>
      <c r="B43" s="6" t="s">
        <v>137</v>
      </c>
      <c r="C43" s="7"/>
      <c r="D43" s="7"/>
      <c r="E43" s="310" t="s">
        <v>42</v>
      </c>
      <c r="F43" s="311">
        <f>(10808+540)/4500</f>
        <v>2.521777777777778</v>
      </c>
      <c r="G43" s="308">
        <v>1</v>
      </c>
      <c r="H43" s="306">
        <v>1</v>
      </c>
      <c r="I43" s="309">
        <f>F43*G43*H43*$E$6</f>
        <v>1008.7111111111111</v>
      </c>
      <c r="J43" s="309">
        <f>F43*G43*(1-H43)*$E$6</f>
        <v>0</v>
      </c>
      <c r="K43" s="164"/>
      <c r="L43" s="164"/>
      <c r="M43" s="164"/>
      <c r="N43" s="50"/>
      <c r="O43" s="50"/>
      <c r="P43" s="50"/>
      <c r="Q43" s="50"/>
      <c r="R43" s="50"/>
      <c r="S43" s="50"/>
      <c r="T43" s="50"/>
    </row>
    <row r="44" spans="1:20" ht="15.75">
      <c r="A44" s="232"/>
      <c r="B44" s="6" t="s">
        <v>138</v>
      </c>
      <c r="C44" s="7"/>
      <c r="D44" s="7"/>
      <c r="E44" s="310" t="s">
        <v>41</v>
      </c>
      <c r="F44" s="311">
        <f>14800/4500</f>
        <v>3.2888888888888888</v>
      </c>
      <c r="G44" s="308">
        <v>1</v>
      </c>
      <c r="H44" s="306">
        <v>1</v>
      </c>
      <c r="I44" s="309">
        <f>F44*G44*H44*$E$6</f>
        <v>1315.5555555555554</v>
      </c>
      <c r="J44" s="309">
        <f>F44*G44*(1-H44)*$E$6</f>
        <v>0</v>
      </c>
      <c r="K44" s="164"/>
      <c r="L44" s="164"/>
      <c r="M44" s="164"/>
      <c r="N44" s="50"/>
      <c r="O44" s="50"/>
      <c r="P44" s="50"/>
      <c r="Q44" s="50"/>
      <c r="R44" s="50"/>
      <c r="S44" s="50"/>
      <c r="T44" s="50"/>
    </row>
    <row r="45" spans="1:20" ht="15.75">
      <c r="A45" s="232"/>
      <c r="B45" s="6" t="s">
        <v>166</v>
      </c>
      <c r="C45" s="7"/>
      <c r="D45" s="7"/>
      <c r="E45" s="310" t="s">
        <v>41</v>
      </c>
      <c r="F45" s="311"/>
      <c r="G45" s="308"/>
      <c r="H45" s="306">
        <v>1</v>
      </c>
      <c r="I45" s="309">
        <f>F45*G45*H45*$E$6</f>
        <v>0</v>
      </c>
      <c r="J45" s="309">
        <f>F45*G45*(1-H45)*$E$6</f>
        <v>0</v>
      </c>
      <c r="K45" s="164"/>
      <c r="L45" s="164"/>
      <c r="M45" s="164"/>
      <c r="N45" s="50"/>
      <c r="O45" s="50"/>
      <c r="P45" s="50"/>
      <c r="Q45" s="50"/>
      <c r="R45" s="50"/>
      <c r="S45" s="50"/>
      <c r="T45" s="50"/>
    </row>
    <row r="46" spans="1:20" ht="15.75">
      <c r="A46" s="232"/>
      <c r="B46" s="30" t="s">
        <v>155</v>
      </c>
      <c r="C46" s="7"/>
      <c r="D46" s="7"/>
      <c r="E46" s="315"/>
      <c r="F46" s="317"/>
      <c r="G46" s="318"/>
      <c r="H46" s="319"/>
      <c r="I46" s="320"/>
      <c r="J46" s="320"/>
      <c r="K46" s="164"/>
      <c r="L46" s="164"/>
      <c r="M46" s="164"/>
      <c r="N46" s="50"/>
      <c r="O46" s="50"/>
      <c r="P46" s="50"/>
      <c r="Q46" s="50"/>
      <c r="R46" s="50"/>
      <c r="S46" s="50"/>
      <c r="T46" s="50"/>
    </row>
    <row r="47" spans="1:20" ht="15.75">
      <c r="A47" s="232"/>
      <c r="B47" s="6" t="s">
        <v>137</v>
      </c>
      <c r="C47" s="7"/>
      <c r="D47" s="7"/>
      <c r="E47" s="310" t="s">
        <v>42</v>
      </c>
      <c r="F47" s="311">
        <f>(8077+9387+337+469)/4500</f>
        <v>4.06</v>
      </c>
      <c r="G47" s="308">
        <v>1</v>
      </c>
      <c r="H47" s="306">
        <v>1</v>
      </c>
      <c r="I47" s="309">
        <f>F47*G47*H47*$E$6</f>
        <v>1623.9999999999998</v>
      </c>
      <c r="J47" s="309">
        <f>F47*G47*(1-H47)*$E$6</f>
        <v>0</v>
      </c>
      <c r="K47" s="164"/>
      <c r="L47" s="164"/>
      <c r="M47" s="164"/>
      <c r="N47" s="50"/>
      <c r="O47" s="50"/>
      <c r="P47" s="50"/>
      <c r="Q47" s="50"/>
      <c r="R47" s="50"/>
      <c r="S47" s="50"/>
      <c r="T47" s="50"/>
    </row>
    <row r="48" spans="1:20" ht="15.75">
      <c r="A48" s="232"/>
      <c r="B48" s="6" t="s">
        <v>138</v>
      </c>
      <c r="C48" s="7"/>
      <c r="D48" s="7"/>
      <c r="E48" s="310" t="s">
        <v>41</v>
      </c>
      <c r="F48" s="311">
        <f>(1750+1426)/4500</f>
        <v>0.7057777777777777</v>
      </c>
      <c r="G48" s="308">
        <v>1</v>
      </c>
      <c r="H48" s="306">
        <v>1</v>
      </c>
      <c r="I48" s="309">
        <f>F48*G48*H48*$E$6</f>
        <v>282.3111111111111</v>
      </c>
      <c r="J48" s="309">
        <f>F48*G48*(1-H48)*$E$6</f>
        <v>0</v>
      </c>
      <c r="K48" s="164"/>
      <c r="L48" s="164"/>
      <c r="M48" s="164"/>
      <c r="N48" s="50"/>
      <c r="O48" s="50"/>
      <c r="P48" s="50"/>
      <c r="Q48" s="50"/>
      <c r="R48" s="50"/>
      <c r="S48" s="50"/>
      <c r="T48" s="50"/>
    </row>
    <row r="49" spans="1:20" ht="15.75">
      <c r="A49" s="232"/>
      <c r="B49" s="6" t="s">
        <v>167</v>
      </c>
      <c r="C49" s="7"/>
      <c r="D49" s="7"/>
      <c r="E49" s="310" t="s">
        <v>41</v>
      </c>
      <c r="F49" s="311"/>
      <c r="G49" s="308"/>
      <c r="H49" s="306">
        <v>1</v>
      </c>
      <c r="I49" s="309">
        <f>F49*G49*H49*$E$6</f>
        <v>0</v>
      </c>
      <c r="J49" s="309">
        <f>F49*G49*(1-H49)*$E$6</f>
        <v>0</v>
      </c>
      <c r="K49" s="164"/>
      <c r="L49" s="164"/>
      <c r="M49" s="164"/>
      <c r="N49" s="50"/>
      <c r="O49" s="50"/>
      <c r="P49" s="50"/>
      <c r="Q49" s="50"/>
      <c r="R49" s="50"/>
      <c r="S49" s="50"/>
      <c r="T49" s="50"/>
    </row>
    <row r="50" spans="1:20" ht="15.75">
      <c r="A50" s="232"/>
      <c r="B50" s="30" t="s">
        <v>156</v>
      </c>
      <c r="C50" s="7"/>
      <c r="D50" s="7"/>
      <c r="E50" s="310" t="s">
        <v>46</v>
      </c>
      <c r="F50" s="305"/>
      <c r="G50" s="305"/>
      <c r="H50" s="305"/>
      <c r="I50" s="321">
        <f>SUM(I43:I49)*'Revenue&amp;FixedCosts'!$D$17/12*$F$51</f>
        <v>24.678370370370374</v>
      </c>
      <c r="J50" s="321">
        <f>SUM(J42:J48)*'Revenue&amp;FixedCosts'!$D$17/12*$F$51</f>
        <v>0</v>
      </c>
      <c r="K50" s="164"/>
      <c r="L50" s="164"/>
      <c r="M50" s="164"/>
      <c r="N50" s="50"/>
      <c r="O50" s="50"/>
      <c r="P50" s="50"/>
      <c r="Q50" s="50"/>
      <c r="R50" s="50"/>
      <c r="S50" s="50"/>
      <c r="T50" s="50"/>
    </row>
    <row r="51" spans="1:20" ht="15.75">
      <c r="A51" s="232"/>
      <c r="B51" s="139" t="s">
        <v>157</v>
      </c>
      <c r="C51" s="7"/>
      <c r="D51" s="7"/>
      <c r="E51" s="307"/>
      <c r="F51" s="312">
        <v>1</v>
      </c>
      <c r="G51" s="307"/>
      <c r="H51" s="307"/>
      <c r="I51" s="307"/>
      <c r="J51" s="307"/>
      <c r="K51" s="164"/>
      <c r="L51" s="164"/>
      <c r="M51" s="164"/>
      <c r="N51" s="50"/>
      <c r="O51" s="50"/>
      <c r="P51" s="50"/>
      <c r="Q51" s="50"/>
      <c r="R51" s="50"/>
      <c r="S51" s="50"/>
      <c r="T51" s="50"/>
    </row>
    <row r="52" spans="1:20" ht="15.75">
      <c r="A52" s="232"/>
      <c r="B52" s="244"/>
      <c r="C52" s="137" t="s">
        <v>118</v>
      </c>
      <c r="D52" s="138" t="str">
        <f>$E$3</f>
        <v>Winter Wheat</v>
      </c>
      <c r="E52" s="313" t="s">
        <v>23</v>
      </c>
      <c r="F52" s="313"/>
      <c r="G52" s="313"/>
      <c r="H52" s="244"/>
      <c r="I52" s="314">
        <f>SUM(I12:I50)</f>
        <v>51047.505348148145</v>
      </c>
      <c r="J52" s="314">
        <f>SUM(J12:J50)</f>
        <v>5621.7888</v>
      </c>
      <c r="K52" s="164"/>
      <c r="L52" s="164"/>
      <c r="M52" s="164"/>
      <c r="N52" s="50"/>
      <c r="O52" s="50"/>
      <c r="P52" s="50"/>
      <c r="Q52" s="50"/>
      <c r="R52" s="50"/>
      <c r="S52" s="50"/>
      <c r="T52" s="50"/>
    </row>
    <row r="53" spans="1:20" ht="15.75">
      <c r="A53" s="232"/>
      <c r="B53" s="7"/>
      <c r="C53" s="7"/>
      <c r="D53" s="7"/>
      <c r="E53" s="7"/>
      <c r="F53" s="7"/>
      <c r="G53" s="7"/>
      <c r="H53" s="194" t="s">
        <v>179</v>
      </c>
      <c r="I53" s="287">
        <f>IF(E6=0,0,I52/E6)</f>
        <v>127.61876337037036</v>
      </c>
      <c r="J53" s="287">
        <f>IF(E6=0,0,J52/E6)</f>
        <v>14.054472</v>
      </c>
      <c r="K53" s="1"/>
      <c r="L53" s="1"/>
      <c r="M53" s="1"/>
      <c r="N53" s="50"/>
      <c r="O53" s="50"/>
      <c r="P53" s="50"/>
      <c r="Q53" s="50"/>
      <c r="R53" s="50"/>
      <c r="S53" s="50"/>
      <c r="T53" s="50"/>
    </row>
    <row r="54" spans="1:20" ht="15.75">
      <c r="A54" s="232"/>
      <c r="B54" s="7"/>
      <c r="C54" s="7"/>
      <c r="D54" s="7"/>
      <c r="E54" s="7"/>
      <c r="F54" s="7"/>
      <c r="G54" s="7"/>
      <c r="I54" s="196" t="s">
        <v>178</v>
      </c>
      <c r="J54" s="195">
        <f>I53+J53</f>
        <v>141.67323537037035</v>
      </c>
      <c r="K54" s="1"/>
      <c r="L54" s="1"/>
      <c r="M54" s="1"/>
      <c r="N54" s="50"/>
      <c r="O54" s="50"/>
      <c r="P54" s="50"/>
      <c r="Q54" s="50"/>
      <c r="R54" s="50"/>
      <c r="S54" s="50"/>
      <c r="T54" s="50"/>
    </row>
    <row r="55" spans="1:20" ht="15.75">
      <c r="A55" s="232"/>
      <c r="B55" s="50"/>
      <c r="C55" s="50"/>
      <c r="D55" s="50"/>
      <c r="E55" s="50"/>
      <c r="F55" s="50"/>
      <c r="G55" s="50"/>
      <c r="I55" s="253" t="s">
        <v>198</v>
      </c>
      <c r="J55" s="195">
        <f>IF(E5=0,"NA",J54/E5)</f>
        <v>3.3731722707231038</v>
      </c>
      <c r="K55" s="50"/>
      <c r="L55" s="50"/>
      <c r="M55" s="50"/>
      <c r="N55" s="50"/>
      <c r="O55" s="50"/>
      <c r="P55" s="50"/>
      <c r="Q55" s="50"/>
      <c r="R55" s="50"/>
      <c r="S55" s="50"/>
      <c r="T55" s="50"/>
    </row>
    <row r="56" spans="1:20" ht="15.75">
      <c r="A56" s="232"/>
      <c r="B56" s="50"/>
      <c r="C56" s="50"/>
      <c r="D56" s="50"/>
      <c r="E56" s="50"/>
      <c r="F56" s="50"/>
      <c r="G56" s="50"/>
      <c r="I56" s="196" t="s">
        <v>227</v>
      </c>
      <c r="J56" s="286">
        <f>E6*J54</f>
        <v>56669.29414814814</v>
      </c>
      <c r="K56" s="50"/>
      <c r="L56" s="50"/>
      <c r="M56" s="50"/>
      <c r="N56" s="50"/>
      <c r="O56" s="50"/>
      <c r="P56" s="50"/>
      <c r="Q56" s="50"/>
      <c r="R56" s="50"/>
      <c r="S56" s="50"/>
      <c r="T56" s="50"/>
    </row>
    <row r="57" spans="1:20" ht="15.75">
      <c r="A57" s="232"/>
      <c r="B57" s="50"/>
      <c r="C57" s="50"/>
      <c r="D57" s="50"/>
      <c r="E57" s="50"/>
      <c r="F57" s="50"/>
      <c r="G57" s="50"/>
      <c r="H57" s="50"/>
      <c r="I57" s="50"/>
      <c r="J57" s="50"/>
      <c r="K57" s="50"/>
      <c r="L57" s="50"/>
      <c r="M57" s="50"/>
      <c r="N57" s="50"/>
      <c r="O57" s="50"/>
      <c r="P57" s="50"/>
      <c r="Q57" s="50"/>
      <c r="R57" s="50"/>
      <c r="S57" s="50"/>
      <c r="T57" s="50"/>
    </row>
    <row r="58" spans="1:20" ht="15.75">
      <c r="A58" s="232"/>
      <c r="B58" s="50"/>
      <c r="C58" s="50"/>
      <c r="D58" s="50"/>
      <c r="E58" s="50"/>
      <c r="F58" s="50"/>
      <c r="G58" s="50"/>
      <c r="H58" s="50"/>
      <c r="I58" s="50"/>
      <c r="J58" s="50"/>
      <c r="K58" s="50"/>
      <c r="L58" s="50"/>
      <c r="M58" s="50"/>
      <c r="N58" s="50"/>
      <c r="O58" s="50"/>
      <c r="P58" s="50"/>
      <c r="Q58" s="50"/>
      <c r="R58" s="50"/>
      <c r="S58" s="50"/>
      <c r="T58" s="50"/>
    </row>
    <row r="59" spans="1:20" ht="15.75">
      <c r="A59" s="232"/>
      <c r="B59" s="50"/>
      <c r="C59" s="50"/>
      <c r="D59" s="50"/>
      <c r="E59" s="50"/>
      <c r="F59" s="50"/>
      <c r="G59" s="50"/>
      <c r="H59" s="50"/>
      <c r="I59" s="50"/>
      <c r="J59" s="50"/>
      <c r="K59" s="50"/>
      <c r="L59" s="50"/>
      <c r="M59" s="50"/>
      <c r="N59" s="50"/>
      <c r="O59" s="50"/>
      <c r="P59" s="50"/>
      <c r="Q59" s="50"/>
      <c r="R59" s="50"/>
      <c r="S59" s="50"/>
      <c r="T59" s="50"/>
    </row>
    <row r="60" spans="1:20" ht="15.75">
      <c r="A60" s="232"/>
      <c r="B60" s="50"/>
      <c r="C60" s="50"/>
      <c r="D60" s="50"/>
      <c r="E60" s="50"/>
      <c r="F60" s="50"/>
      <c r="G60" s="50"/>
      <c r="H60" s="50"/>
      <c r="I60" s="50"/>
      <c r="J60" s="50"/>
      <c r="K60" s="50"/>
      <c r="L60" s="50"/>
      <c r="M60" s="50"/>
      <c r="N60" s="50"/>
      <c r="O60" s="50"/>
      <c r="P60" s="50"/>
      <c r="Q60" s="50"/>
      <c r="R60" s="50"/>
      <c r="S60" s="50"/>
      <c r="T60" s="50"/>
    </row>
    <row r="61" spans="1:20" ht="15.75">
      <c r="A61" s="232"/>
      <c r="B61" s="50"/>
      <c r="C61" s="50"/>
      <c r="D61" s="50"/>
      <c r="E61" s="50"/>
      <c r="F61" s="50"/>
      <c r="G61" s="50"/>
      <c r="H61" s="50"/>
      <c r="I61" s="50"/>
      <c r="J61" s="50"/>
      <c r="K61" s="50"/>
      <c r="L61" s="50"/>
      <c r="M61" s="50"/>
      <c r="N61" s="50"/>
      <c r="O61" s="50"/>
      <c r="P61" s="50"/>
      <c r="Q61" s="50"/>
      <c r="R61" s="50"/>
      <c r="S61" s="50"/>
      <c r="T61" s="50"/>
    </row>
    <row r="62" spans="1:20" ht="15.75">
      <c r="A62" s="232"/>
      <c r="B62" s="50"/>
      <c r="C62" s="50"/>
      <c r="D62" s="50"/>
      <c r="E62" s="50"/>
      <c r="F62" s="50"/>
      <c r="G62" s="50"/>
      <c r="H62" s="50"/>
      <c r="I62" s="50"/>
      <c r="J62" s="50"/>
      <c r="K62" s="50"/>
      <c r="L62" s="50"/>
      <c r="M62" s="50"/>
      <c r="N62" s="50"/>
      <c r="O62" s="50"/>
      <c r="P62" s="50"/>
      <c r="Q62" s="50"/>
      <c r="R62" s="50"/>
      <c r="S62" s="50"/>
      <c r="T62" s="50"/>
    </row>
    <row r="63" spans="1:20" ht="15.75">
      <c r="A63" s="232"/>
      <c r="B63" s="50"/>
      <c r="C63" s="50"/>
      <c r="D63" s="50"/>
      <c r="E63" s="50"/>
      <c r="F63" s="50"/>
      <c r="G63" s="50"/>
      <c r="H63" s="50"/>
      <c r="I63" s="50"/>
      <c r="J63" s="50"/>
      <c r="K63" s="50"/>
      <c r="L63" s="50"/>
      <c r="M63" s="50"/>
      <c r="N63" s="50"/>
      <c r="O63" s="50"/>
      <c r="P63" s="50"/>
      <c r="Q63" s="50"/>
      <c r="R63" s="50"/>
      <c r="S63" s="50"/>
      <c r="T63" s="50"/>
    </row>
    <row r="64" spans="1:20" ht="15.75">
      <c r="A64" s="232"/>
      <c r="B64" s="50"/>
      <c r="C64" s="50"/>
      <c r="D64" s="50"/>
      <c r="E64" s="50"/>
      <c r="F64" s="50"/>
      <c r="G64" s="50"/>
      <c r="H64" s="50"/>
      <c r="I64" s="50"/>
      <c r="J64" s="50"/>
      <c r="K64" s="50"/>
      <c r="L64" s="50"/>
      <c r="M64" s="50"/>
      <c r="N64" s="50"/>
      <c r="O64" s="50"/>
      <c r="P64" s="50"/>
      <c r="Q64" s="50"/>
      <c r="R64" s="50"/>
      <c r="S64" s="50"/>
      <c r="T64" s="50"/>
    </row>
    <row r="65" spans="1:20" ht="15.75">
      <c r="A65" s="232"/>
      <c r="B65" s="50"/>
      <c r="C65" s="50"/>
      <c r="D65" s="50"/>
      <c r="E65" s="50"/>
      <c r="F65" s="50"/>
      <c r="G65" s="50"/>
      <c r="H65" s="50"/>
      <c r="I65" s="50"/>
      <c r="J65" s="50"/>
      <c r="K65" s="50"/>
      <c r="L65" s="50"/>
      <c r="M65" s="50"/>
      <c r="N65" s="50"/>
      <c r="O65" s="50"/>
      <c r="P65" s="50"/>
      <c r="Q65" s="50"/>
      <c r="R65" s="50"/>
      <c r="S65" s="50"/>
      <c r="T65" s="50"/>
    </row>
    <row r="66" spans="1:20" ht="15.75">
      <c r="A66" s="232"/>
      <c r="B66" s="50"/>
      <c r="C66" s="50"/>
      <c r="D66" s="50"/>
      <c r="E66" s="50"/>
      <c r="F66" s="50"/>
      <c r="G66" s="50"/>
      <c r="H66" s="50"/>
      <c r="I66" s="50"/>
      <c r="J66" s="50"/>
      <c r="K66" s="50"/>
      <c r="L66" s="50"/>
      <c r="M66" s="50"/>
      <c r="N66" s="50"/>
      <c r="O66" s="50"/>
      <c r="P66" s="50"/>
      <c r="Q66" s="50"/>
      <c r="R66" s="50"/>
      <c r="S66" s="50"/>
      <c r="T66" s="50"/>
    </row>
    <row r="67" spans="1:20" ht="15.75">
      <c r="A67" s="232"/>
      <c r="B67" s="50"/>
      <c r="C67" s="50"/>
      <c r="D67" s="50"/>
      <c r="E67" s="245" t="s">
        <v>193</v>
      </c>
      <c r="F67" s="246">
        <f>(F23+F26+F43+F47)</f>
        <v>13.157777777777778</v>
      </c>
      <c r="G67" s="50"/>
      <c r="H67" s="50"/>
      <c r="I67" s="50"/>
      <c r="J67" s="50"/>
      <c r="K67" s="50"/>
      <c r="L67" s="50"/>
      <c r="M67" s="50"/>
      <c r="N67" s="50"/>
      <c r="O67" s="50"/>
      <c r="P67" s="50"/>
      <c r="Q67" s="50"/>
      <c r="R67" s="50"/>
      <c r="S67" s="50"/>
      <c r="T67" s="50"/>
    </row>
    <row r="68" spans="1:20" ht="15.75">
      <c r="A68" s="232"/>
      <c r="B68" s="50"/>
      <c r="C68" s="50"/>
      <c r="D68" s="50"/>
      <c r="E68" s="245" t="s">
        <v>192</v>
      </c>
      <c r="F68" s="247">
        <f>(F24+F27+F44+F48)</f>
        <v>8.832888888888888</v>
      </c>
      <c r="G68" s="50"/>
      <c r="H68" s="50"/>
      <c r="I68" s="50"/>
      <c r="J68" s="50"/>
      <c r="K68" s="50"/>
      <c r="L68" s="50"/>
      <c r="M68" s="50"/>
      <c r="N68" s="50"/>
      <c r="O68" s="50"/>
      <c r="P68" s="50"/>
      <c r="Q68" s="50"/>
      <c r="R68" s="50"/>
      <c r="S68" s="50"/>
      <c r="T68" s="50"/>
    </row>
    <row r="69" spans="1:20" ht="15.75">
      <c r="A69" s="232"/>
      <c r="B69" s="50"/>
      <c r="C69" s="50"/>
      <c r="D69" s="50"/>
      <c r="E69" s="50"/>
      <c r="F69" s="50"/>
      <c r="G69" s="50"/>
      <c r="H69" s="50"/>
      <c r="I69" s="50"/>
      <c r="J69" s="50"/>
      <c r="K69" s="50"/>
      <c r="L69" s="50"/>
      <c r="M69" s="50"/>
      <c r="N69" s="50"/>
      <c r="O69" s="50"/>
      <c r="P69" s="50"/>
      <c r="Q69" s="50"/>
      <c r="R69" s="50"/>
      <c r="S69" s="50"/>
      <c r="T69" s="50"/>
    </row>
    <row r="70" spans="1:20" ht="15.75">
      <c r="A70" s="232"/>
      <c r="B70" s="50"/>
      <c r="C70" s="50"/>
      <c r="D70" s="50"/>
      <c r="E70" s="50"/>
      <c r="F70" s="50"/>
      <c r="G70" s="50"/>
      <c r="H70" s="50"/>
      <c r="I70" s="50"/>
      <c r="J70" s="50"/>
      <c r="K70" s="50"/>
      <c r="L70" s="50"/>
      <c r="M70" s="50"/>
      <c r="N70" s="50"/>
      <c r="O70" s="50"/>
      <c r="P70" s="50"/>
      <c r="Q70" s="50"/>
      <c r="R70" s="50"/>
      <c r="S70" s="50"/>
      <c r="T70" s="50"/>
    </row>
    <row r="71" spans="1:20" ht="15.75">
      <c r="A71" s="232"/>
      <c r="B71" s="50"/>
      <c r="C71" s="50"/>
      <c r="D71" s="50"/>
      <c r="E71" s="50"/>
      <c r="F71" s="50"/>
      <c r="G71" s="50"/>
      <c r="H71" s="50"/>
      <c r="I71" s="50"/>
      <c r="J71" s="50"/>
      <c r="K71" s="50"/>
      <c r="L71" s="50"/>
      <c r="M71" s="50"/>
      <c r="N71" s="50"/>
      <c r="O71" s="50"/>
      <c r="P71" s="50"/>
      <c r="Q71" s="50"/>
      <c r="R71" s="50"/>
      <c r="S71" s="50"/>
      <c r="T71" s="50"/>
    </row>
    <row r="72" spans="1:20" ht="15.75">
      <c r="A72" s="232"/>
      <c r="B72" s="50"/>
      <c r="C72" s="50"/>
      <c r="D72" s="50"/>
      <c r="E72" s="50"/>
      <c r="F72" s="50"/>
      <c r="G72" s="50"/>
      <c r="H72" s="50"/>
      <c r="I72" s="50"/>
      <c r="J72" s="50"/>
      <c r="K72" s="50"/>
      <c r="L72" s="50"/>
      <c r="M72" s="50"/>
      <c r="N72" s="50"/>
      <c r="O72" s="50"/>
      <c r="P72" s="50"/>
      <c r="Q72" s="50"/>
      <c r="R72" s="50"/>
      <c r="S72" s="50"/>
      <c r="T72" s="50"/>
    </row>
    <row r="73" spans="1:20" ht="15.75">
      <c r="A73" s="232"/>
      <c r="B73" s="50"/>
      <c r="C73" s="50"/>
      <c r="D73" s="50"/>
      <c r="E73" s="50"/>
      <c r="F73" s="50"/>
      <c r="G73" s="50"/>
      <c r="H73" s="50"/>
      <c r="I73" s="50"/>
      <c r="J73" s="50"/>
      <c r="K73" s="50"/>
      <c r="L73" s="50"/>
      <c r="M73" s="50"/>
      <c r="N73" s="50"/>
      <c r="O73" s="50"/>
      <c r="P73" s="50"/>
      <c r="Q73" s="50"/>
      <c r="R73" s="50"/>
      <c r="S73" s="50"/>
      <c r="T73" s="50"/>
    </row>
    <row r="74" spans="1:20" ht="15.75">
      <c r="A74" s="232"/>
      <c r="B74" s="50"/>
      <c r="C74" s="50"/>
      <c r="D74" s="50"/>
      <c r="E74" s="50"/>
      <c r="F74" s="50"/>
      <c r="G74" s="50"/>
      <c r="H74" s="50"/>
      <c r="I74" s="50"/>
      <c r="J74" s="50"/>
      <c r="K74" s="50"/>
      <c r="L74" s="50"/>
      <c r="M74" s="50"/>
      <c r="N74" s="50"/>
      <c r="O74" s="50"/>
      <c r="P74" s="50"/>
      <c r="Q74" s="50"/>
      <c r="R74" s="50"/>
      <c r="S74" s="50"/>
      <c r="T74" s="50"/>
    </row>
    <row r="75" spans="1:20" ht="15.75">
      <c r="A75" s="232"/>
      <c r="B75" s="50"/>
      <c r="C75" s="50"/>
      <c r="D75" s="50"/>
      <c r="E75" s="50"/>
      <c r="F75" s="50"/>
      <c r="G75" s="50"/>
      <c r="H75" s="50"/>
      <c r="I75" s="50"/>
      <c r="J75" s="50"/>
      <c r="K75" s="50"/>
      <c r="L75" s="50"/>
      <c r="M75" s="50"/>
      <c r="N75" s="50"/>
      <c r="O75" s="50"/>
      <c r="P75" s="50"/>
      <c r="Q75" s="50"/>
      <c r="R75" s="50"/>
      <c r="S75" s="50"/>
      <c r="T75" s="50"/>
    </row>
    <row r="76" spans="1:20" ht="15.75">
      <c r="A76" s="232"/>
      <c r="B76" s="50"/>
      <c r="C76" s="50"/>
      <c r="D76" s="50"/>
      <c r="E76" s="50"/>
      <c r="F76" s="50"/>
      <c r="G76" s="50"/>
      <c r="H76" s="50"/>
      <c r="I76" s="50"/>
      <c r="J76" s="50"/>
      <c r="K76" s="50"/>
      <c r="L76" s="50"/>
      <c r="M76" s="50"/>
      <c r="N76" s="50"/>
      <c r="O76" s="50"/>
      <c r="P76" s="50"/>
      <c r="Q76" s="50"/>
      <c r="R76" s="50"/>
      <c r="S76" s="50"/>
      <c r="T76" s="50"/>
    </row>
    <row r="77" spans="1:20" ht="15.75">
      <c r="A77" s="232"/>
      <c r="B77" s="50"/>
      <c r="C77" s="50"/>
      <c r="D77" s="50"/>
      <c r="E77" s="50"/>
      <c r="F77" s="50"/>
      <c r="G77" s="50"/>
      <c r="H77" s="50"/>
      <c r="I77" s="50"/>
      <c r="J77" s="50"/>
      <c r="K77" s="50"/>
      <c r="L77" s="50"/>
      <c r="M77" s="50"/>
      <c r="N77" s="50"/>
      <c r="O77" s="50"/>
      <c r="P77" s="50"/>
      <c r="Q77" s="50"/>
      <c r="R77" s="50"/>
      <c r="S77" s="50"/>
      <c r="T77" s="50"/>
    </row>
    <row r="78" spans="1:20" ht="15.75">
      <c r="A78" s="232"/>
      <c r="B78" s="50"/>
      <c r="C78" s="50"/>
      <c r="D78" s="50"/>
      <c r="E78" s="50"/>
      <c r="F78" s="50"/>
      <c r="G78" s="50"/>
      <c r="H78" s="50"/>
      <c r="I78" s="50"/>
      <c r="J78" s="50"/>
      <c r="K78" s="50"/>
      <c r="L78" s="50"/>
      <c r="M78" s="50"/>
      <c r="N78" s="50"/>
      <c r="O78" s="50"/>
      <c r="P78" s="50"/>
      <c r="Q78" s="50"/>
      <c r="R78" s="50"/>
      <c r="S78" s="50"/>
      <c r="T78" s="50"/>
    </row>
    <row r="79" spans="1:20" ht="15.75">
      <c r="A79" s="232"/>
      <c r="B79" s="50"/>
      <c r="C79" s="50"/>
      <c r="D79" s="50"/>
      <c r="E79" s="50"/>
      <c r="F79" s="50"/>
      <c r="G79" s="50"/>
      <c r="H79" s="50"/>
      <c r="I79" s="50"/>
      <c r="J79" s="50"/>
      <c r="K79" s="50"/>
      <c r="L79" s="50"/>
      <c r="M79" s="50"/>
      <c r="N79" s="50"/>
      <c r="O79" s="50"/>
      <c r="P79" s="50"/>
      <c r="Q79" s="50"/>
      <c r="R79" s="50"/>
      <c r="S79" s="50"/>
      <c r="T79" s="50"/>
    </row>
    <row r="80" spans="1:20" ht="15.75">
      <c r="A80" s="232"/>
      <c r="B80" s="50"/>
      <c r="C80" s="50"/>
      <c r="D80" s="50"/>
      <c r="E80" s="50"/>
      <c r="F80" s="50"/>
      <c r="G80" s="50"/>
      <c r="H80" s="50"/>
      <c r="I80" s="50"/>
      <c r="J80" s="50"/>
      <c r="K80" s="50"/>
      <c r="L80" s="50"/>
      <c r="M80" s="50"/>
      <c r="N80" s="50"/>
      <c r="O80" s="50"/>
      <c r="P80" s="50"/>
      <c r="Q80" s="50"/>
      <c r="R80" s="50"/>
      <c r="S80" s="50"/>
      <c r="T80" s="50"/>
    </row>
    <row r="81" spans="1:20" ht="15.75">
      <c r="A81" s="232"/>
      <c r="B81" s="50"/>
      <c r="C81" s="50"/>
      <c r="D81" s="50"/>
      <c r="E81" s="50"/>
      <c r="F81" s="50"/>
      <c r="G81" s="50"/>
      <c r="H81" s="50"/>
      <c r="I81" s="50"/>
      <c r="J81" s="50"/>
      <c r="K81" s="50"/>
      <c r="L81" s="50"/>
      <c r="M81" s="50"/>
      <c r="N81" s="50"/>
      <c r="O81" s="50"/>
      <c r="P81" s="50"/>
      <c r="Q81" s="50"/>
      <c r="R81" s="50"/>
      <c r="S81" s="50"/>
      <c r="T81" s="50"/>
    </row>
    <row r="82" spans="1:20" ht="15.75">
      <c r="A82" s="232"/>
      <c r="B82" s="50"/>
      <c r="C82" s="50"/>
      <c r="D82" s="50"/>
      <c r="E82" s="50"/>
      <c r="F82" s="50"/>
      <c r="G82" s="50"/>
      <c r="H82" s="50"/>
      <c r="I82" s="50"/>
      <c r="J82" s="50"/>
      <c r="K82" s="50"/>
      <c r="L82" s="50"/>
      <c r="M82" s="50"/>
      <c r="N82" s="50"/>
      <c r="O82" s="50"/>
      <c r="P82" s="50"/>
      <c r="Q82" s="50"/>
      <c r="R82" s="50"/>
      <c r="S82" s="50"/>
      <c r="T82" s="50"/>
    </row>
    <row r="83" spans="1:20" ht="15.75">
      <c r="A83" s="232"/>
      <c r="B83" s="50"/>
      <c r="C83" s="50"/>
      <c r="D83" s="50"/>
      <c r="E83" s="50"/>
      <c r="F83" s="50"/>
      <c r="G83" s="50"/>
      <c r="H83" s="50"/>
      <c r="I83" s="50"/>
      <c r="J83" s="50"/>
      <c r="K83" s="50"/>
      <c r="L83" s="50"/>
      <c r="M83" s="50"/>
      <c r="N83" s="50"/>
      <c r="O83" s="50"/>
      <c r="P83" s="50"/>
      <c r="Q83" s="50"/>
      <c r="R83" s="50"/>
      <c r="S83" s="50"/>
      <c r="T83" s="50"/>
    </row>
    <row r="84" spans="1:20" ht="15.75">
      <c r="A84" s="232"/>
      <c r="B84" s="50"/>
      <c r="C84" s="50"/>
      <c r="D84" s="50"/>
      <c r="E84" s="50"/>
      <c r="F84" s="50"/>
      <c r="G84" s="50"/>
      <c r="H84" s="50"/>
      <c r="I84" s="50"/>
      <c r="J84" s="50"/>
      <c r="K84" s="50"/>
      <c r="L84" s="50"/>
      <c r="M84" s="50"/>
      <c r="N84" s="50"/>
      <c r="O84" s="50"/>
      <c r="P84" s="50"/>
      <c r="Q84" s="50"/>
      <c r="R84" s="50"/>
      <c r="S84" s="50"/>
      <c r="T84" s="50"/>
    </row>
  </sheetData>
  <sheetProtection sheet="1" formatCells="0" formatColumns="0" formatRows="0"/>
  <mergeCells count="6">
    <mergeCell ref="I3:I4"/>
    <mergeCell ref="J3:J4"/>
    <mergeCell ref="E3:E4"/>
    <mergeCell ref="F3:F4"/>
    <mergeCell ref="G3:G4"/>
    <mergeCell ref="H3:H4"/>
  </mergeCells>
  <printOptions/>
  <pageMargins left="0.75" right="0.75" top="1" bottom="1" header="0.5" footer="0.5"/>
  <pageSetup fitToHeight="1" fitToWidth="1" horizontalDpi="300" verticalDpi="300" orientation="portrait" scale="48"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R58"/>
  <sheetViews>
    <sheetView showGridLines="0" zoomScalePageLayoutView="0" workbookViewId="0" topLeftCell="A1">
      <selection activeCell="A1" sqref="A1"/>
    </sheetView>
  </sheetViews>
  <sheetFormatPr defaultColWidth="8.796875" defaultRowHeight="15"/>
  <cols>
    <col min="1" max="1" width="4.09765625" style="120" customWidth="1"/>
    <col min="2" max="4" width="12.69921875" style="0" customWidth="1"/>
    <col min="5" max="10" width="11.69921875" style="0" customWidth="1"/>
  </cols>
  <sheetData>
    <row r="1" spans="1:18" ht="15.75">
      <c r="A1" s="232"/>
      <c r="B1" s="50"/>
      <c r="C1" s="50"/>
      <c r="D1" s="50"/>
      <c r="E1" s="50"/>
      <c r="F1" s="50"/>
      <c r="G1" s="50"/>
      <c r="H1" s="50"/>
      <c r="I1" s="50"/>
      <c r="J1" s="50"/>
      <c r="K1" s="50"/>
      <c r="L1" s="50"/>
      <c r="M1" s="50"/>
      <c r="N1" s="50"/>
      <c r="O1" s="50"/>
      <c r="P1" s="50"/>
      <c r="Q1" s="50"/>
      <c r="R1" s="50"/>
    </row>
    <row r="2" spans="1:18" ht="16.5" thickBot="1">
      <c r="A2" s="232"/>
      <c r="B2" s="50"/>
      <c r="C2" s="50"/>
      <c r="D2" s="50"/>
      <c r="E2" s="208" t="str">
        <f>'Revenue&amp;FixedCosts'!C8</f>
        <v>Crop#1</v>
      </c>
      <c r="F2" s="258" t="str">
        <f>'Revenue&amp;FixedCosts'!D8</f>
        <v>Crop#2</v>
      </c>
      <c r="G2" s="208" t="str">
        <f>'Revenue&amp;FixedCosts'!E8</f>
        <v>Crop#3</v>
      </c>
      <c r="H2" s="208" t="str">
        <f>'Revenue&amp;FixedCosts'!F8</f>
        <v>Crop#4</v>
      </c>
      <c r="I2" s="208" t="str">
        <f>'Revenue&amp;FixedCosts'!G8</f>
        <v>Crop#5</v>
      </c>
      <c r="J2" s="208" t="str">
        <f>'Revenue&amp;FixedCosts'!H8</f>
        <v>Crop#6</v>
      </c>
      <c r="K2" s="50"/>
      <c r="L2" s="50"/>
      <c r="M2" s="50"/>
      <c r="N2" s="50"/>
      <c r="O2" s="50"/>
      <c r="P2" s="50"/>
      <c r="Q2" s="50"/>
      <c r="R2" s="50"/>
    </row>
    <row r="3" spans="1:18" ht="15.75">
      <c r="A3" s="232"/>
      <c r="B3" s="50"/>
      <c r="C3" s="50"/>
      <c r="D3" s="50"/>
      <c r="E3" s="290" t="str">
        <f>'Revenue&amp;FixedCosts'!C9</f>
        <v>Winter Wheat</v>
      </c>
      <c r="F3" s="292" t="str">
        <f>'Revenue&amp;FixedCosts'!D9</f>
        <v>Spring Wheat</v>
      </c>
      <c r="G3" s="290" t="str">
        <f>'Revenue&amp;FixedCosts'!E9</f>
        <v>Durum</v>
      </c>
      <c r="H3" s="290" t="str">
        <f>'Revenue&amp;FixedCosts'!F9</f>
        <v>Malt Barley</v>
      </c>
      <c r="I3" s="290" t="str">
        <f>'Revenue&amp;FixedCosts'!G9</f>
        <v>Summer Fallow</v>
      </c>
      <c r="J3" s="290" t="str">
        <f>'Revenue&amp;FixedCosts'!H9</f>
        <v>Not Used</v>
      </c>
      <c r="K3" s="50"/>
      <c r="L3" s="50"/>
      <c r="M3" s="50"/>
      <c r="N3" s="50"/>
      <c r="O3" s="50"/>
      <c r="P3" s="50"/>
      <c r="Q3" s="50"/>
      <c r="R3" s="50"/>
    </row>
    <row r="4" spans="1:18" ht="15.75">
      <c r="A4" s="232"/>
      <c r="B4" s="50"/>
      <c r="C4" s="50"/>
      <c r="D4" s="50"/>
      <c r="E4" s="291"/>
      <c r="F4" s="293"/>
      <c r="G4" s="291"/>
      <c r="H4" s="291"/>
      <c r="I4" s="291"/>
      <c r="J4" s="291"/>
      <c r="K4" s="50"/>
      <c r="L4" s="50"/>
      <c r="M4" s="50"/>
      <c r="N4" s="50"/>
      <c r="O4" s="50"/>
      <c r="P4" s="50"/>
      <c r="Q4" s="50"/>
      <c r="R4" s="50"/>
    </row>
    <row r="5" spans="1:18" ht="15.75">
      <c r="A5" s="232"/>
      <c r="B5" s="50"/>
      <c r="C5" s="50"/>
      <c r="D5" s="50" t="str">
        <f>'Revenue&amp;FixedCosts'!B12</f>
        <v>Expected Yield</v>
      </c>
      <c r="E5" s="209">
        <f>'Revenue&amp;FixedCosts'!C12</f>
        <v>42</v>
      </c>
      <c r="F5" s="259">
        <f>'Revenue&amp;FixedCosts'!D12</f>
        <v>28</v>
      </c>
      <c r="G5" s="209">
        <f>'Revenue&amp;FixedCosts'!E12</f>
        <v>22</v>
      </c>
      <c r="H5" s="209">
        <f>'Revenue&amp;FixedCosts'!F12</f>
        <v>52</v>
      </c>
      <c r="I5" s="209">
        <f>'Revenue&amp;FixedCosts'!G12</f>
        <v>0</v>
      </c>
      <c r="J5" s="209">
        <f>'Revenue&amp;FixedCosts'!H12</f>
        <v>0</v>
      </c>
      <c r="K5" s="50"/>
      <c r="L5" s="50"/>
      <c r="M5" s="50"/>
      <c r="N5" s="50"/>
      <c r="O5" s="50"/>
      <c r="P5" s="50"/>
      <c r="Q5" s="50"/>
      <c r="R5" s="50"/>
    </row>
    <row r="6" spans="1:18" ht="15.75">
      <c r="A6" s="232"/>
      <c r="B6" s="7" t="s">
        <v>119</v>
      </c>
      <c r="C6" s="7"/>
      <c r="D6" s="50" t="s">
        <v>199</v>
      </c>
      <c r="E6" s="209">
        <f>'Revenue&amp;FixedCosts'!$C$11</f>
        <v>400</v>
      </c>
      <c r="F6" s="260">
        <f>'Revenue&amp;FixedCosts'!$D$11</f>
        <v>750</v>
      </c>
      <c r="G6" s="209">
        <f>'Revenue&amp;FixedCosts'!E11</f>
        <v>500</v>
      </c>
      <c r="H6" s="209">
        <f>'Revenue&amp;FixedCosts'!F11</f>
        <v>300</v>
      </c>
      <c r="I6" s="209">
        <f>'Revenue&amp;FixedCosts'!G11</f>
        <v>550</v>
      </c>
      <c r="J6" s="209">
        <f>'Revenue&amp;FixedCosts'!H11</f>
        <v>0</v>
      </c>
      <c r="K6" s="1"/>
      <c r="L6" s="50"/>
      <c r="M6" s="50"/>
      <c r="N6" s="50"/>
      <c r="O6" s="50"/>
      <c r="P6" s="50"/>
      <c r="Q6" s="50"/>
      <c r="R6" s="50"/>
    </row>
    <row r="7" spans="1:18" ht="18.75">
      <c r="A7" s="232"/>
      <c r="B7" s="41" t="str">
        <f>'Revenue&amp;FixedCosts'!$D$9</f>
        <v>Spring Wheat</v>
      </c>
      <c r="C7" s="50"/>
      <c r="E7" s="18" t="s">
        <v>47</v>
      </c>
      <c r="F7" s="10"/>
      <c r="G7" s="10"/>
      <c r="H7" s="10"/>
      <c r="I7" s="10"/>
      <c r="J7" s="10"/>
      <c r="K7" s="5"/>
      <c r="L7" s="50"/>
      <c r="M7" s="50"/>
      <c r="N7" s="50"/>
      <c r="O7" s="50"/>
      <c r="P7" s="50"/>
      <c r="Q7" s="50"/>
      <c r="R7" s="50"/>
    </row>
    <row r="8" spans="1:18" ht="15" customHeight="1">
      <c r="A8" s="232"/>
      <c r="B8" s="10"/>
      <c r="C8" s="10"/>
      <c r="D8" s="10"/>
      <c r="E8" s="11"/>
      <c r="F8" s="14" t="s">
        <v>35</v>
      </c>
      <c r="G8" s="15" t="s">
        <v>36</v>
      </c>
      <c r="H8" s="15" t="s">
        <v>2</v>
      </c>
      <c r="I8" s="15" t="s">
        <v>3</v>
      </c>
      <c r="J8" s="15" t="s">
        <v>3</v>
      </c>
      <c r="K8" s="5"/>
      <c r="L8" s="50"/>
      <c r="M8" s="50"/>
      <c r="N8" s="50"/>
      <c r="O8" s="50"/>
      <c r="P8" s="50"/>
      <c r="Q8" s="50"/>
      <c r="R8" s="50"/>
    </row>
    <row r="9" spans="1:18" ht="15" customHeight="1">
      <c r="A9" s="232"/>
      <c r="B9" s="7"/>
      <c r="C9" s="7"/>
      <c r="D9" s="7"/>
      <c r="E9" s="12"/>
      <c r="F9" s="13" t="s">
        <v>37</v>
      </c>
      <c r="G9" s="9" t="s">
        <v>37</v>
      </c>
      <c r="H9" s="9" t="s">
        <v>7</v>
      </c>
      <c r="I9" s="265" t="s">
        <v>7</v>
      </c>
      <c r="J9" s="266" t="s">
        <v>6</v>
      </c>
      <c r="K9" s="5"/>
      <c r="L9" s="50"/>
      <c r="M9" s="50"/>
      <c r="N9" s="50"/>
      <c r="O9" s="50"/>
      <c r="P9" s="50"/>
      <c r="Q9" s="50"/>
      <c r="R9" s="50"/>
    </row>
    <row r="10" spans="1:18" ht="15" customHeight="1">
      <c r="A10" s="232"/>
      <c r="B10" s="41" t="s">
        <v>159</v>
      </c>
      <c r="C10" s="7"/>
      <c r="D10" s="7"/>
      <c r="E10" s="19" t="s">
        <v>38</v>
      </c>
      <c r="F10" s="13" t="s">
        <v>39</v>
      </c>
      <c r="G10" s="9" t="s">
        <v>39</v>
      </c>
      <c r="H10" s="9" t="s">
        <v>9</v>
      </c>
      <c r="I10" s="9" t="s">
        <v>9</v>
      </c>
      <c r="J10" s="9" t="s">
        <v>9</v>
      </c>
      <c r="K10" s="5"/>
      <c r="L10" s="50"/>
      <c r="M10" s="50"/>
      <c r="N10" s="50"/>
      <c r="O10" s="50"/>
      <c r="P10" s="50"/>
      <c r="Q10" s="50"/>
      <c r="R10" s="50"/>
    </row>
    <row r="11" spans="1:18" ht="15.75">
      <c r="A11" s="232"/>
      <c r="B11" s="10"/>
      <c r="C11" s="10"/>
      <c r="D11" s="10"/>
      <c r="E11" s="158"/>
      <c r="F11" s="158"/>
      <c r="G11" s="158"/>
      <c r="H11" s="158"/>
      <c r="I11" s="158"/>
      <c r="J11" s="158"/>
      <c r="K11" s="5"/>
      <c r="L11" s="50"/>
      <c r="M11" s="50"/>
      <c r="N11" s="50"/>
      <c r="O11" s="50"/>
      <c r="P11" s="50"/>
      <c r="Q11" s="50"/>
      <c r="R11" s="50"/>
    </row>
    <row r="12" spans="1:18" ht="15.75">
      <c r="A12" s="232"/>
      <c r="B12" s="30" t="s">
        <v>139</v>
      </c>
      <c r="C12" s="7"/>
      <c r="D12" s="7"/>
      <c r="E12" s="140" t="s">
        <v>40</v>
      </c>
      <c r="F12" s="205">
        <v>10</v>
      </c>
      <c r="G12" s="133">
        <v>1</v>
      </c>
      <c r="H12" s="141">
        <v>1</v>
      </c>
      <c r="I12" s="152">
        <f aca="true" t="shared" si="0" ref="I12:I21">F12*G12*H12*$F$6</f>
        <v>7500</v>
      </c>
      <c r="J12" s="152">
        <f aca="true" t="shared" si="1" ref="J12:J21">F12*G12*(1-H12)*$F$6</f>
        <v>0</v>
      </c>
      <c r="K12" s="5"/>
      <c r="L12" s="50"/>
      <c r="M12" s="50"/>
      <c r="N12" s="50"/>
      <c r="O12" s="50"/>
      <c r="P12" s="50"/>
      <c r="Q12" s="50"/>
      <c r="R12" s="50"/>
    </row>
    <row r="13" spans="1:18" ht="15.75">
      <c r="A13" s="232"/>
      <c r="B13" s="30" t="s">
        <v>140</v>
      </c>
      <c r="C13" s="21"/>
      <c r="D13" s="233"/>
      <c r="E13" s="140" t="s">
        <v>41</v>
      </c>
      <c r="F13" s="205">
        <v>18</v>
      </c>
      <c r="G13" s="133">
        <v>1</v>
      </c>
      <c r="H13" s="141">
        <v>1</v>
      </c>
      <c r="I13" s="152">
        <f t="shared" si="0"/>
        <v>13500</v>
      </c>
      <c r="J13" s="152">
        <f t="shared" si="1"/>
        <v>0</v>
      </c>
      <c r="K13" s="5"/>
      <c r="L13" s="50"/>
      <c r="M13" s="50"/>
      <c r="N13" s="50"/>
      <c r="O13" s="50"/>
      <c r="P13" s="50"/>
      <c r="Q13" s="50"/>
      <c r="R13" s="50"/>
    </row>
    <row r="14" spans="1:18" ht="15.75">
      <c r="A14" s="232"/>
      <c r="B14" s="202"/>
      <c r="C14" s="203"/>
      <c r="D14" s="20"/>
      <c r="E14" s="140" t="s">
        <v>174</v>
      </c>
      <c r="F14" s="205">
        <v>0</v>
      </c>
      <c r="G14" s="133">
        <v>1</v>
      </c>
      <c r="H14" s="141">
        <v>1</v>
      </c>
      <c r="I14" s="152">
        <f t="shared" si="0"/>
        <v>0</v>
      </c>
      <c r="J14" s="152">
        <f t="shared" si="1"/>
        <v>0</v>
      </c>
      <c r="K14" s="5"/>
      <c r="L14" s="50"/>
      <c r="M14" s="50"/>
      <c r="N14" s="50"/>
      <c r="O14" s="50"/>
      <c r="P14" s="50"/>
      <c r="Q14" s="50"/>
      <c r="R14" s="50"/>
    </row>
    <row r="15" spans="1:18" ht="15.75">
      <c r="A15" s="232"/>
      <c r="B15" s="202"/>
      <c r="C15" s="203"/>
      <c r="D15" s="8"/>
      <c r="E15" s="140" t="s">
        <v>43</v>
      </c>
      <c r="F15" s="205">
        <v>0</v>
      </c>
      <c r="G15" s="133">
        <v>1</v>
      </c>
      <c r="H15" s="141">
        <v>1</v>
      </c>
      <c r="I15" s="152">
        <f t="shared" si="0"/>
        <v>0</v>
      </c>
      <c r="J15" s="152">
        <f t="shared" si="1"/>
        <v>0</v>
      </c>
      <c r="K15" s="5"/>
      <c r="L15" s="50"/>
      <c r="M15" s="164"/>
      <c r="N15" s="50"/>
      <c r="O15" s="50"/>
      <c r="P15" s="234" t="s">
        <v>184</v>
      </c>
      <c r="Q15" s="50"/>
      <c r="R15" s="50"/>
    </row>
    <row r="16" spans="1:18" ht="15.75">
      <c r="A16" s="232"/>
      <c r="B16" s="30" t="s">
        <v>162</v>
      </c>
      <c r="C16" s="7"/>
      <c r="D16" s="21"/>
      <c r="E16" s="140" t="s">
        <v>42</v>
      </c>
      <c r="F16" s="205">
        <v>0</v>
      </c>
      <c r="G16" s="133">
        <v>1</v>
      </c>
      <c r="H16" s="141">
        <v>1</v>
      </c>
      <c r="I16" s="152">
        <f t="shared" si="0"/>
        <v>0</v>
      </c>
      <c r="J16" s="152">
        <f t="shared" si="1"/>
        <v>0</v>
      </c>
      <c r="K16" s="5"/>
      <c r="L16" s="50"/>
      <c r="M16" s="164"/>
      <c r="N16" s="50"/>
      <c r="O16" s="50"/>
      <c r="P16" s="235" t="s">
        <v>185</v>
      </c>
      <c r="Q16" s="50"/>
      <c r="R16" s="50"/>
    </row>
    <row r="17" spans="1:18" ht="15.75">
      <c r="A17" s="232"/>
      <c r="B17" s="30" t="s">
        <v>141</v>
      </c>
      <c r="C17" s="21"/>
      <c r="D17" s="233"/>
      <c r="E17" s="140" t="s">
        <v>43</v>
      </c>
      <c r="F17" s="205">
        <v>0</v>
      </c>
      <c r="G17" s="133">
        <v>1</v>
      </c>
      <c r="H17" s="141">
        <v>0</v>
      </c>
      <c r="I17" s="152">
        <f t="shared" si="0"/>
        <v>0</v>
      </c>
      <c r="J17" s="152">
        <f t="shared" si="1"/>
        <v>0</v>
      </c>
      <c r="K17" s="5"/>
      <c r="L17" s="50"/>
      <c r="M17" s="164"/>
      <c r="N17" s="50"/>
      <c r="O17" s="50"/>
      <c r="P17" s="236" t="s">
        <v>186</v>
      </c>
      <c r="Q17" s="50"/>
      <c r="R17" s="50"/>
    </row>
    <row r="18" spans="1:18" ht="15.75">
      <c r="A18" s="232"/>
      <c r="B18" s="202"/>
      <c r="C18" s="203" t="s">
        <v>176</v>
      </c>
      <c r="D18" s="20"/>
      <c r="E18" s="140" t="s">
        <v>174</v>
      </c>
      <c r="F18" s="205">
        <v>550</v>
      </c>
      <c r="G18" s="133">
        <v>0.024</v>
      </c>
      <c r="H18" s="141">
        <v>0.754</v>
      </c>
      <c r="I18" s="152">
        <f t="shared" si="0"/>
        <v>7464.600000000001</v>
      </c>
      <c r="J18" s="152">
        <f t="shared" si="1"/>
        <v>2435.4</v>
      </c>
      <c r="K18" s="5"/>
      <c r="L18" s="50"/>
      <c r="M18" s="164"/>
      <c r="N18" s="199" t="s">
        <v>176</v>
      </c>
      <c r="O18" s="251">
        <v>0.024038461538461543</v>
      </c>
      <c r="P18" s="237">
        <f>2000*O18</f>
        <v>48.07692307692309</v>
      </c>
      <c r="Q18" s="50"/>
      <c r="R18" s="50"/>
    </row>
    <row r="19" spans="1:18" ht="15.75">
      <c r="A19" s="232"/>
      <c r="B19" s="202"/>
      <c r="C19" s="203" t="s">
        <v>175</v>
      </c>
      <c r="D19" s="8"/>
      <c r="E19" s="140" t="s">
        <v>197</v>
      </c>
      <c r="F19" s="205">
        <v>0.4</v>
      </c>
      <c r="G19" s="133">
        <v>50</v>
      </c>
      <c r="H19" s="141">
        <v>0.754</v>
      </c>
      <c r="I19" s="152">
        <f t="shared" si="0"/>
        <v>11310</v>
      </c>
      <c r="J19" s="152">
        <f t="shared" si="1"/>
        <v>3690</v>
      </c>
      <c r="K19" s="5"/>
      <c r="L19" s="50"/>
      <c r="M19" s="164" t="s">
        <v>181</v>
      </c>
      <c r="N19" s="112">
        <f>2000*0.11</f>
        <v>220</v>
      </c>
      <c r="O19" s="238">
        <f>N19*$O$18</f>
        <v>5.288461538461539</v>
      </c>
      <c r="P19" s="50"/>
      <c r="Q19" s="50"/>
      <c r="R19" s="50"/>
    </row>
    <row r="20" spans="1:18" ht="15.75">
      <c r="A20" s="232"/>
      <c r="B20" s="30" t="s">
        <v>163</v>
      </c>
      <c r="C20" s="7"/>
      <c r="D20" s="7"/>
      <c r="E20" s="140" t="s">
        <v>42</v>
      </c>
      <c r="F20" s="205">
        <v>4</v>
      </c>
      <c r="G20" s="133">
        <v>1</v>
      </c>
      <c r="H20" s="141">
        <v>1</v>
      </c>
      <c r="I20" s="152">
        <f t="shared" si="0"/>
        <v>3000</v>
      </c>
      <c r="J20" s="152">
        <f t="shared" si="1"/>
        <v>0</v>
      </c>
      <c r="K20" s="5"/>
      <c r="L20" s="50"/>
      <c r="M20" s="164" t="s">
        <v>182</v>
      </c>
      <c r="N20" s="112">
        <f>2000*0.52</f>
        <v>1040</v>
      </c>
      <c r="O20" s="238">
        <f>N20*$O$18</f>
        <v>25.000000000000004</v>
      </c>
      <c r="P20" s="50"/>
      <c r="Q20" s="50"/>
      <c r="R20" s="50"/>
    </row>
    <row r="21" spans="1:18" ht="15.75">
      <c r="A21" s="232"/>
      <c r="B21" s="30" t="s">
        <v>142</v>
      </c>
      <c r="C21" s="7"/>
      <c r="D21" s="7"/>
      <c r="E21" s="140" t="s">
        <v>42</v>
      </c>
      <c r="F21" s="205">
        <v>15.2</v>
      </c>
      <c r="G21" s="133">
        <v>1</v>
      </c>
      <c r="H21" s="141">
        <v>1</v>
      </c>
      <c r="I21" s="152">
        <f t="shared" si="0"/>
        <v>11400</v>
      </c>
      <c r="J21" s="152">
        <f t="shared" si="1"/>
        <v>0</v>
      </c>
      <c r="K21" s="5"/>
      <c r="L21" s="50"/>
      <c r="M21" s="201" t="s">
        <v>183</v>
      </c>
      <c r="N21" s="113">
        <f>2000-(N19+N20)</f>
        <v>740</v>
      </c>
      <c r="O21" s="238">
        <f>N21*$O$18</f>
        <v>17.788461538461544</v>
      </c>
      <c r="P21" s="50"/>
      <c r="Q21" s="50"/>
      <c r="R21" s="50"/>
    </row>
    <row r="22" spans="1:18" ht="15.75">
      <c r="A22" s="232"/>
      <c r="B22" s="30" t="s">
        <v>177</v>
      </c>
      <c r="C22" s="7"/>
      <c r="D22" s="7"/>
      <c r="E22" s="239"/>
      <c r="F22" s="240"/>
      <c r="G22" s="241"/>
      <c r="H22" s="242"/>
      <c r="I22" s="157"/>
      <c r="J22" s="157"/>
      <c r="K22" s="5"/>
      <c r="L22" s="50"/>
      <c r="M22" s="164" t="s">
        <v>187</v>
      </c>
      <c r="N22" s="112">
        <f>SUM(N19:N21)</f>
        <v>2000</v>
      </c>
      <c r="O22" s="50"/>
      <c r="P22" s="50"/>
      <c r="Q22" s="50"/>
      <c r="R22" s="50"/>
    </row>
    <row r="23" spans="1:18" ht="15.75">
      <c r="A23" s="232"/>
      <c r="B23" s="6" t="s">
        <v>137</v>
      </c>
      <c r="C23" s="7"/>
      <c r="D23" s="7"/>
      <c r="E23" s="140" t="s">
        <v>41</v>
      </c>
      <c r="F23" s="205">
        <f>(7706+6652+2221+385+333+111)/4500</f>
        <v>3.8684444444444446</v>
      </c>
      <c r="G23" s="133">
        <v>1</v>
      </c>
      <c r="H23" s="141">
        <v>1</v>
      </c>
      <c r="I23" s="152">
        <f>F23*G23*H23*$F$6</f>
        <v>2901.3333333333335</v>
      </c>
      <c r="J23" s="152">
        <f>F23*G23*(1-H23)*$F$6</f>
        <v>0</v>
      </c>
      <c r="K23" s="5"/>
      <c r="L23" s="50"/>
      <c r="M23" s="164" t="s">
        <v>188</v>
      </c>
      <c r="N23" s="250">
        <v>1100</v>
      </c>
      <c r="O23" s="50"/>
      <c r="P23" s="50"/>
      <c r="Q23" s="50"/>
      <c r="R23" s="50"/>
    </row>
    <row r="24" spans="1:18" ht="15.75">
      <c r="A24" s="232"/>
      <c r="B24" s="6" t="s">
        <v>138</v>
      </c>
      <c r="C24" s="7"/>
      <c r="D24" s="7"/>
      <c r="E24" s="140" t="s">
        <v>41</v>
      </c>
      <c r="F24" s="205">
        <f>(1168+1911+947+1425)/4500</f>
        <v>1.2113333333333334</v>
      </c>
      <c r="G24" s="133">
        <v>1</v>
      </c>
      <c r="H24" s="141">
        <v>1</v>
      </c>
      <c r="I24" s="152">
        <f>F24*G24*H24*$F$6</f>
        <v>908.5</v>
      </c>
      <c r="J24" s="152">
        <f>F24*G24*(1-H24)*$F$6</f>
        <v>0</v>
      </c>
      <c r="K24" s="5"/>
      <c r="L24" s="50"/>
      <c r="M24" s="50"/>
      <c r="N24" s="200">
        <f>N23/2000</f>
        <v>0.55</v>
      </c>
      <c r="O24" s="164" t="s">
        <v>189</v>
      </c>
      <c r="P24" s="50"/>
      <c r="Q24" s="50"/>
      <c r="R24" s="50"/>
    </row>
    <row r="25" spans="1:18" ht="15.75">
      <c r="A25" s="232"/>
      <c r="B25" s="30" t="s">
        <v>143</v>
      </c>
      <c r="C25" s="7"/>
      <c r="D25" s="7"/>
      <c r="E25" s="239"/>
      <c r="F25" s="240"/>
      <c r="G25" s="241"/>
      <c r="H25" s="242"/>
      <c r="I25" s="157"/>
      <c r="J25" s="157"/>
      <c r="K25" s="5"/>
      <c r="L25" s="50"/>
      <c r="M25" s="164"/>
      <c r="N25" s="50"/>
      <c r="O25" s="50"/>
      <c r="P25" s="50"/>
      <c r="Q25" s="50"/>
      <c r="R25" s="50"/>
    </row>
    <row r="26" spans="1:18" ht="15.75">
      <c r="A26" s="232"/>
      <c r="B26" s="6" t="s">
        <v>137</v>
      </c>
      <c r="C26" s="7"/>
      <c r="D26" s="7"/>
      <c r="E26" s="140" t="s">
        <v>41</v>
      </c>
      <c r="F26" s="205">
        <f>(2700+135+6738+2166+337+108)/4500</f>
        <v>2.7075555555555555</v>
      </c>
      <c r="G26" s="133">
        <v>1</v>
      </c>
      <c r="H26" s="141">
        <v>1</v>
      </c>
      <c r="I26" s="152">
        <f>F26*G26*H26*$F$6</f>
        <v>2030.6666666666665</v>
      </c>
      <c r="J26" s="152">
        <f>F26*G26*(1-H26)*$F$6</f>
        <v>0</v>
      </c>
      <c r="K26" s="5"/>
      <c r="L26" s="50"/>
      <c r="M26" s="164"/>
      <c r="N26" s="50"/>
      <c r="O26" s="50"/>
      <c r="P26" s="50"/>
      <c r="Q26" s="50"/>
      <c r="R26" s="50"/>
    </row>
    <row r="27" spans="1:18" ht="15.75">
      <c r="A27" s="232"/>
      <c r="B27" s="6" t="s">
        <v>138</v>
      </c>
      <c r="C27" s="7"/>
      <c r="D27" s="7"/>
      <c r="E27" s="140" t="s">
        <v>41</v>
      </c>
      <c r="F27" s="205">
        <f>(4957+7643+2917+804)/4500</f>
        <v>3.626888888888889</v>
      </c>
      <c r="G27" s="133">
        <v>1</v>
      </c>
      <c r="H27" s="141">
        <v>1</v>
      </c>
      <c r="I27" s="152">
        <f>F27*G27*H27*$F$6</f>
        <v>2720.1666666666665</v>
      </c>
      <c r="J27" s="152">
        <f>F27*G27*(1-H27)*$F$6</f>
        <v>0</v>
      </c>
      <c r="K27" s="5"/>
      <c r="L27" s="50"/>
      <c r="M27" s="164"/>
      <c r="N27" s="116" t="s">
        <v>175</v>
      </c>
      <c r="O27" s="50"/>
      <c r="P27" s="50"/>
      <c r="Q27" s="50"/>
      <c r="R27" s="50"/>
    </row>
    <row r="28" spans="1:18" ht="15.75">
      <c r="A28" s="232"/>
      <c r="B28" s="30" t="s">
        <v>144</v>
      </c>
      <c r="C28" s="7"/>
      <c r="D28" s="7"/>
      <c r="E28" s="239"/>
      <c r="F28" s="240" t="s">
        <v>44</v>
      </c>
      <c r="G28" s="241"/>
      <c r="H28" s="242"/>
      <c r="I28" s="157"/>
      <c r="J28" s="157"/>
      <c r="K28" s="5"/>
      <c r="L28" s="50"/>
      <c r="M28" s="164"/>
      <c r="N28" s="112">
        <f>2000*0.46</f>
        <v>920</v>
      </c>
      <c r="O28" s="50" t="s">
        <v>180</v>
      </c>
      <c r="P28" s="50"/>
      <c r="Q28" s="50"/>
      <c r="R28" s="50"/>
    </row>
    <row r="29" spans="1:18" ht="15.75">
      <c r="A29" s="232"/>
      <c r="B29" s="6" t="s">
        <v>151</v>
      </c>
      <c r="C29" s="7"/>
      <c r="D29" s="7"/>
      <c r="E29" s="140" t="s">
        <v>45</v>
      </c>
      <c r="F29" s="205">
        <v>0</v>
      </c>
      <c r="G29" s="133">
        <v>1</v>
      </c>
      <c r="H29" s="141">
        <v>1</v>
      </c>
      <c r="I29" s="152">
        <f>F29*G29*H29*$F$6</f>
        <v>0</v>
      </c>
      <c r="J29" s="152">
        <f>F29*G29*(1-H29)*$F$6</f>
        <v>0</v>
      </c>
      <c r="K29" s="5"/>
      <c r="L29" s="50"/>
      <c r="M29" s="164"/>
      <c r="N29" s="250">
        <v>600</v>
      </c>
      <c r="O29" s="50" t="s">
        <v>190</v>
      </c>
      <c r="P29" s="50"/>
      <c r="Q29" s="50"/>
      <c r="R29" s="50"/>
    </row>
    <row r="30" spans="1:18" ht="15.75">
      <c r="A30" s="232"/>
      <c r="B30" s="6" t="s">
        <v>152</v>
      </c>
      <c r="C30" s="7"/>
      <c r="D30" s="7"/>
      <c r="E30" s="140" t="s">
        <v>45</v>
      </c>
      <c r="F30" s="205">
        <v>0</v>
      </c>
      <c r="G30" s="133">
        <v>1</v>
      </c>
      <c r="H30" s="141">
        <v>1</v>
      </c>
      <c r="I30" s="152">
        <f>F30*G30*H30*$F$6</f>
        <v>0</v>
      </c>
      <c r="J30" s="152">
        <f>F30*G30*(1-H30)*$F$6</f>
        <v>0</v>
      </c>
      <c r="K30" s="5"/>
      <c r="L30" s="50"/>
      <c r="M30" s="164"/>
      <c r="N30" s="200">
        <f>N29/920</f>
        <v>0.6521739130434783</v>
      </c>
      <c r="O30" s="50" t="s">
        <v>191</v>
      </c>
      <c r="P30" s="50"/>
      <c r="Q30" s="50"/>
      <c r="R30" s="50"/>
    </row>
    <row r="31" spans="1:18" ht="15.75">
      <c r="A31" s="232"/>
      <c r="B31" s="6" t="s">
        <v>153</v>
      </c>
      <c r="C31" s="7"/>
      <c r="D31" s="7"/>
      <c r="E31" s="140" t="s">
        <v>45</v>
      </c>
      <c r="F31" s="205">
        <v>0</v>
      </c>
      <c r="G31" s="133">
        <v>1</v>
      </c>
      <c r="H31" s="161">
        <v>1</v>
      </c>
      <c r="I31" s="165">
        <f>F31*G31*H31*$F$6</f>
        <v>0</v>
      </c>
      <c r="J31" s="166">
        <f>F31*G31*(1-H31)*$F$6</f>
        <v>0</v>
      </c>
      <c r="K31" s="5"/>
      <c r="L31" s="50"/>
      <c r="M31" s="50"/>
      <c r="N31" s="50"/>
      <c r="O31" s="50"/>
      <c r="P31" s="50"/>
      <c r="Q31" s="50"/>
      <c r="R31" s="50"/>
    </row>
    <row r="32" spans="1:18" ht="15.75">
      <c r="A32" s="232"/>
      <c r="B32" s="30" t="s">
        <v>145</v>
      </c>
      <c r="C32" s="7"/>
      <c r="D32" s="7"/>
      <c r="E32" s="158"/>
      <c r="F32" s="207" t="s">
        <v>44</v>
      </c>
      <c r="G32" s="158"/>
      <c r="H32" s="160"/>
      <c r="I32" s="160"/>
      <c r="J32" s="160"/>
      <c r="K32" s="5"/>
      <c r="L32" s="50"/>
      <c r="M32" s="50"/>
      <c r="N32" s="50"/>
      <c r="O32" s="50"/>
      <c r="P32" s="50"/>
      <c r="Q32" s="50"/>
      <c r="R32" s="50"/>
    </row>
    <row r="33" spans="1:18" ht="15.75">
      <c r="A33" s="232"/>
      <c r="B33" s="6" t="s">
        <v>146</v>
      </c>
      <c r="C33" s="7"/>
      <c r="D33" s="7"/>
      <c r="E33" s="140" t="s">
        <v>45</v>
      </c>
      <c r="F33" s="205">
        <v>0</v>
      </c>
      <c r="G33" s="133">
        <v>1</v>
      </c>
      <c r="H33" s="160"/>
      <c r="I33" s="160"/>
      <c r="J33" s="152">
        <f>F33*G33*$F$6</f>
        <v>0</v>
      </c>
      <c r="K33" s="5"/>
      <c r="L33" s="50"/>
      <c r="M33" s="50"/>
      <c r="N33" s="50"/>
      <c r="O33" s="50"/>
      <c r="P33" s="50"/>
      <c r="Q33" s="50"/>
      <c r="R33" s="50"/>
    </row>
    <row r="34" spans="1:18" ht="15.75">
      <c r="A34" s="232"/>
      <c r="B34" s="6" t="s">
        <v>147</v>
      </c>
      <c r="C34" s="7"/>
      <c r="D34" s="7"/>
      <c r="E34" s="140" t="s">
        <v>45</v>
      </c>
      <c r="F34" s="205">
        <v>10</v>
      </c>
      <c r="G34" s="133">
        <v>0.4</v>
      </c>
      <c r="H34" s="160"/>
      <c r="I34" s="159">
        <f>F34*G34*$F$6</f>
        <v>3000</v>
      </c>
      <c r="J34" s="160"/>
      <c r="K34" s="5"/>
      <c r="L34" s="50"/>
      <c r="M34" s="50"/>
      <c r="N34" s="50"/>
      <c r="O34" s="50"/>
      <c r="P34" s="50"/>
      <c r="Q34" s="50"/>
      <c r="R34" s="50"/>
    </row>
    <row r="35" spans="1:18" ht="15.75">
      <c r="A35" s="232"/>
      <c r="B35" s="6" t="s">
        <v>148</v>
      </c>
      <c r="C35" s="7"/>
      <c r="D35" s="7"/>
      <c r="E35" s="140" t="s">
        <v>45</v>
      </c>
      <c r="F35" s="205">
        <v>0</v>
      </c>
      <c r="G35" s="133">
        <v>0.25</v>
      </c>
      <c r="H35" s="160"/>
      <c r="I35" s="159">
        <f>F35*G35*$F$6</f>
        <v>0</v>
      </c>
      <c r="J35" s="160"/>
      <c r="K35" s="5"/>
      <c r="L35" s="50"/>
      <c r="M35" s="50"/>
      <c r="N35" s="50"/>
      <c r="O35" s="50"/>
      <c r="P35" s="50"/>
      <c r="Q35" s="50"/>
      <c r="R35" s="50"/>
    </row>
    <row r="36" spans="1:18" ht="15.75">
      <c r="A36" s="232"/>
      <c r="B36" s="6" t="s">
        <v>149</v>
      </c>
      <c r="C36" s="7"/>
      <c r="D36" s="7"/>
      <c r="E36" s="140" t="s">
        <v>45</v>
      </c>
      <c r="F36" s="205">
        <v>0</v>
      </c>
      <c r="G36" s="133">
        <v>1</v>
      </c>
      <c r="H36" s="160"/>
      <c r="I36" s="159">
        <f>F36*G36*$F$6</f>
        <v>0</v>
      </c>
      <c r="J36" s="160"/>
      <c r="K36" s="5"/>
      <c r="L36" s="50"/>
      <c r="M36" s="50"/>
      <c r="N36" s="50"/>
      <c r="O36" s="50"/>
      <c r="P36" s="50"/>
      <c r="Q36" s="50"/>
      <c r="R36" s="50"/>
    </row>
    <row r="37" spans="1:18" ht="15.75">
      <c r="A37" s="232"/>
      <c r="B37" s="248" t="s">
        <v>164</v>
      </c>
      <c r="C37" s="8"/>
      <c r="D37" s="249"/>
      <c r="E37" s="140" t="s">
        <v>42</v>
      </c>
      <c r="F37" s="205">
        <v>0</v>
      </c>
      <c r="G37" s="133">
        <v>1</v>
      </c>
      <c r="H37" s="141">
        <v>1</v>
      </c>
      <c r="I37" s="152">
        <f>F37*G37*H37*$F$6</f>
        <v>0</v>
      </c>
      <c r="J37" s="152">
        <f>F37*G37*(1-H37)*$F$6</f>
        <v>0</v>
      </c>
      <c r="K37" s="5"/>
      <c r="L37" s="50"/>
      <c r="M37" s="50"/>
      <c r="N37" s="50"/>
      <c r="O37" s="50"/>
      <c r="P37" s="50"/>
      <c r="Q37" s="50"/>
      <c r="R37" s="50"/>
    </row>
    <row r="38" spans="1:18" ht="15.75">
      <c r="A38" s="232"/>
      <c r="B38" s="248" t="s">
        <v>165</v>
      </c>
      <c r="C38" s="8"/>
      <c r="D38" s="249"/>
      <c r="E38" s="140" t="s">
        <v>42</v>
      </c>
      <c r="F38" s="205">
        <v>0</v>
      </c>
      <c r="G38" s="133">
        <v>1</v>
      </c>
      <c r="H38" s="141">
        <v>1</v>
      </c>
      <c r="I38" s="152">
        <f>F38*G38*H38*$F$6</f>
        <v>0</v>
      </c>
      <c r="J38" s="152">
        <f>F38*G38*(1-H38)*$F$6</f>
        <v>0</v>
      </c>
      <c r="K38" s="5"/>
      <c r="L38" s="50"/>
      <c r="M38" s="50"/>
      <c r="N38" s="50"/>
      <c r="O38" s="50"/>
      <c r="P38" s="50"/>
      <c r="Q38" s="50"/>
      <c r="R38" s="50"/>
    </row>
    <row r="39" spans="1:18" ht="15.75">
      <c r="A39" s="232"/>
      <c r="B39" s="30" t="s">
        <v>150</v>
      </c>
      <c r="C39" s="7"/>
      <c r="D39" s="7"/>
      <c r="E39" s="140" t="s">
        <v>46</v>
      </c>
      <c r="F39" s="160"/>
      <c r="G39" s="160"/>
      <c r="H39" s="160"/>
      <c r="I39" s="152">
        <f>(SUM(I12:I31)+I37+I38)*'Revenue&amp;FixedCosts'!$D$17/12*$F$40</f>
        <v>2195.734333333334</v>
      </c>
      <c r="J39" s="152">
        <f>(SUM(J12:J31)+J37+J38)*'Revenue&amp;FixedCosts'!$D$17/12*$F$40</f>
        <v>214.389</v>
      </c>
      <c r="K39" s="5"/>
      <c r="L39" s="50"/>
      <c r="M39" s="50"/>
      <c r="N39" s="50"/>
      <c r="O39" s="50"/>
      <c r="P39" s="50"/>
      <c r="Q39" s="50"/>
      <c r="R39" s="50"/>
    </row>
    <row r="40" spans="1:18" ht="15.75">
      <c r="A40" s="232"/>
      <c r="B40" s="6" t="s">
        <v>158</v>
      </c>
      <c r="C40" s="7"/>
      <c r="D40" s="7"/>
      <c r="E40" s="160"/>
      <c r="F40" s="133">
        <v>6</v>
      </c>
      <c r="G40" s="160"/>
      <c r="H40" s="160"/>
      <c r="I40" s="162"/>
      <c r="J40" s="163"/>
      <c r="K40" s="5"/>
      <c r="L40" s="50"/>
      <c r="M40" s="50"/>
      <c r="N40" s="50"/>
      <c r="O40" s="50"/>
      <c r="P40" s="50"/>
      <c r="Q40" s="50"/>
      <c r="R40" s="50"/>
    </row>
    <row r="41" spans="1:18" ht="18.75">
      <c r="A41" s="232"/>
      <c r="B41" s="136" t="s">
        <v>160</v>
      </c>
      <c r="C41" s="10"/>
      <c r="D41" s="10"/>
      <c r="E41" s="158"/>
      <c r="F41" s="158"/>
      <c r="G41" s="158"/>
      <c r="H41" s="158"/>
      <c r="I41" s="267" t="s">
        <v>7</v>
      </c>
      <c r="J41" s="268" t="s">
        <v>6</v>
      </c>
      <c r="K41" s="5"/>
      <c r="L41" s="50"/>
      <c r="M41" s="50"/>
      <c r="N41" s="50"/>
      <c r="O41" s="50"/>
      <c r="P41" s="50"/>
      <c r="Q41" s="50"/>
      <c r="R41" s="50"/>
    </row>
    <row r="42" spans="1:18" ht="15.75">
      <c r="A42" s="232"/>
      <c r="B42" s="30" t="s">
        <v>154</v>
      </c>
      <c r="C42" s="7"/>
      <c r="D42" s="7"/>
      <c r="E42" s="239"/>
      <c r="F42" s="243"/>
      <c r="G42" s="241"/>
      <c r="H42" s="242"/>
      <c r="I42" s="157"/>
      <c r="J42" s="157"/>
      <c r="K42" s="5"/>
      <c r="L42" s="50"/>
      <c r="M42" s="50"/>
      <c r="N42" s="50"/>
      <c r="O42" s="50"/>
      <c r="P42" s="50"/>
      <c r="Q42" s="50"/>
      <c r="R42" s="50"/>
    </row>
    <row r="43" spans="1:18" ht="15.75">
      <c r="A43" s="232"/>
      <c r="B43" s="6" t="s">
        <v>137</v>
      </c>
      <c r="C43" s="7"/>
      <c r="D43" s="7"/>
      <c r="E43" s="140" t="s">
        <v>42</v>
      </c>
      <c r="F43" s="205">
        <f>(10808+540)/4500</f>
        <v>2.521777777777778</v>
      </c>
      <c r="G43" s="133">
        <v>1</v>
      </c>
      <c r="H43" s="141">
        <v>1</v>
      </c>
      <c r="I43" s="152">
        <f>F43*G43*H43*$F$6</f>
        <v>1891.3333333333335</v>
      </c>
      <c r="J43" s="152">
        <f>F43*G43*(1-H43)*$F$6</f>
        <v>0</v>
      </c>
      <c r="K43" s="5"/>
      <c r="L43" s="50"/>
      <c r="M43" s="50"/>
      <c r="N43" s="50"/>
      <c r="O43" s="50"/>
      <c r="P43" s="50"/>
      <c r="Q43" s="50"/>
      <c r="R43" s="50"/>
    </row>
    <row r="44" spans="1:18" ht="15.75">
      <c r="A44" s="232"/>
      <c r="B44" s="6" t="s">
        <v>138</v>
      </c>
      <c r="C44" s="7"/>
      <c r="D44" s="7"/>
      <c r="E44" s="140" t="s">
        <v>41</v>
      </c>
      <c r="F44" s="205">
        <f>14800/4500</f>
        <v>3.2888888888888888</v>
      </c>
      <c r="G44" s="133">
        <v>1</v>
      </c>
      <c r="H44" s="141">
        <v>1</v>
      </c>
      <c r="I44" s="152">
        <f>F44*G44*H44*$F$6</f>
        <v>2466.6666666666665</v>
      </c>
      <c r="J44" s="152">
        <f>F44*G44*(1-H44)*$F$6</f>
        <v>0</v>
      </c>
      <c r="K44" s="5"/>
      <c r="L44" s="50"/>
      <c r="M44" s="50"/>
      <c r="N44" s="50"/>
      <c r="O44" s="50"/>
      <c r="P44" s="50"/>
      <c r="Q44" s="50"/>
      <c r="R44" s="50"/>
    </row>
    <row r="45" spans="1:18" ht="15.75">
      <c r="A45" s="232"/>
      <c r="B45" s="6" t="s">
        <v>166</v>
      </c>
      <c r="C45" s="7"/>
      <c r="D45" s="7"/>
      <c r="E45" s="140" t="s">
        <v>41</v>
      </c>
      <c r="F45" s="205"/>
      <c r="G45" s="133">
        <v>1</v>
      </c>
      <c r="H45" s="141">
        <v>1</v>
      </c>
      <c r="I45" s="152">
        <f>F45*G45*H45*$F$6</f>
        <v>0</v>
      </c>
      <c r="J45" s="152">
        <f>F45*G45*(1-H45)*$F$6</f>
        <v>0</v>
      </c>
      <c r="K45" s="5"/>
      <c r="L45" s="50"/>
      <c r="M45" s="50"/>
      <c r="N45" s="50"/>
      <c r="O45" s="50"/>
      <c r="P45" s="50"/>
      <c r="Q45" s="50"/>
      <c r="R45" s="50"/>
    </row>
    <row r="46" spans="1:18" ht="15.75">
      <c r="A46" s="232"/>
      <c r="B46" s="30" t="s">
        <v>155</v>
      </c>
      <c r="C46" s="7"/>
      <c r="D46" s="7"/>
      <c r="E46" s="239"/>
      <c r="F46" s="240"/>
      <c r="G46" s="241"/>
      <c r="H46" s="242"/>
      <c r="I46" s="157"/>
      <c r="J46" s="157"/>
      <c r="K46" s="5"/>
      <c r="L46" s="50"/>
      <c r="M46" s="50"/>
      <c r="N46" s="50"/>
      <c r="O46" s="50"/>
      <c r="P46" s="50"/>
      <c r="Q46" s="50"/>
      <c r="R46" s="50"/>
    </row>
    <row r="47" spans="1:18" ht="15.75">
      <c r="A47" s="232"/>
      <c r="B47" s="6" t="s">
        <v>137</v>
      </c>
      <c r="C47" s="7"/>
      <c r="D47" s="7"/>
      <c r="E47" s="140" t="s">
        <v>42</v>
      </c>
      <c r="F47" s="205">
        <f>(8077+9387+337+469)/4500</f>
        <v>4.06</v>
      </c>
      <c r="G47" s="133">
        <v>1</v>
      </c>
      <c r="H47" s="141">
        <v>1</v>
      </c>
      <c r="I47" s="152">
        <f>F47*G47*H47*$F$6</f>
        <v>3044.9999999999995</v>
      </c>
      <c r="J47" s="152">
        <f>F47*G47*(1-H47)*$F$6</f>
        <v>0</v>
      </c>
      <c r="K47" s="5"/>
      <c r="L47" s="50"/>
      <c r="M47" s="50"/>
      <c r="N47" s="50"/>
      <c r="O47" s="50"/>
      <c r="P47" s="50"/>
      <c r="Q47" s="50"/>
      <c r="R47" s="50"/>
    </row>
    <row r="48" spans="1:18" ht="15.75">
      <c r="A48" s="232"/>
      <c r="B48" s="6" t="s">
        <v>138</v>
      </c>
      <c r="C48" s="7"/>
      <c r="D48" s="7"/>
      <c r="E48" s="140" t="s">
        <v>41</v>
      </c>
      <c r="F48" s="205">
        <f>(1750+1426)/4500</f>
        <v>0.7057777777777777</v>
      </c>
      <c r="G48" s="133">
        <v>1</v>
      </c>
      <c r="H48" s="141">
        <v>1</v>
      </c>
      <c r="I48" s="152">
        <f>F48*G48*H48*$F$6</f>
        <v>529.3333333333333</v>
      </c>
      <c r="J48" s="152">
        <f>F48*G48*(1-H48)*$F$6</f>
        <v>0</v>
      </c>
      <c r="K48" s="5"/>
      <c r="L48" s="50"/>
      <c r="M48" s="50"/>
      <c r="N48" s="50"/>
      <c r="O48" s="50"/>
      <c r="P48" s="50"/>
      <c r="Q48" s="50"/>
      <c r="R48" s="50"/>
    </row>
    <row r="49" spans="1:18" ht="15.75">
      <c r="A49" s="232"/>
      <c r="B49" s="6" t="s">
        <v>167</v>
      </c>
      <c r="C49" s="7"/>
      <c r="D49" s="7"/>
      <c r="E49" s="140" t="s">
        <v>41</v>
      </c>
      <c r="F49" s="205"/>
      <c r="G49" s="133">
        <v>1</v>
      </c>
      <c r="H49" s="141">
        <v>1</v>
      </c>
      <c r="I49" s="152">
        <f>F49*G49*H49*$F$6</f>
        <v>0</v>
      </c>
      <c r="J49" s="152">
        <f>F49*G49*(1-H49)*$F$6</f>
        <v>0</v>
      </c>
      <c r="K49" s="5"/>
      <c r="L49" s="50"/>
      <c r="M49" s="50"/>
      <c r="N49" s="50"/>
      <c r="O49" s="50"/>
      <c r="P49" s="50"/>
      <c r="Q49" s="50"/>
      <c r="R49" s="50"/>
    </row>
    <row r="50" spans="1:18" ht="15.75">
      <c r="A50" s="232"/>
      <c r="B50" s="30" t="s">
        <v>156</v>
      </c>
      <c r="C50" s="7"/>
      <c r="D50" s="7"/>
      <c r="E50" s="140" t="s">
        <v>46</v>
      </c>
      <c r="F50" s="160"/>
      <c r="G50" s="160"/>
      <c r="H50" s="160"/>
      <c r="I50" s="153">
        <f>SUM(I43:I49)*'Revenue&amp;FixedCosts'!$D$17/12*$F$51</f>
        <v>46.27194444444444</v>
      </c>
      <c r="J50" s="153">
        <f>SUM(J42:J48)*'Revenue&amp;FixedCosts'!$D$17/12*$F$51</f>
        <v>0</v>
      </c>
      <c r="K50" s="5"/>
      <c r="L50" s="50"/>
      <c r="M50" s="50"/>
      <c r="N50" s="50"/>
      <c r="O50" s="50"/>
      <c r="P50" s="50"/>
      <c r="Q50" s="50"/>
      <c r="R50" s="50"/>
    </row>
    <row r="51" spans="1:18" ht="15.75">
      <c r="A51" s="232"/>
      <c r="B51" s="139" t="s">
        <v>157</v>
      </c>
      <c r="C51" s="7"/>
      <c r="D51" s="7"/>
      <c r="E51" s="160"/>
      <c r="F51" s="133">
        <v>1</v>
      </c>
      <c r="G51" s="160"/>
      <c r="H51" s="162"/>
      <c r="I51" s="162"/>
      <c r="J51" s="163"/>
      <c r="K51" s="5"/>
      <c r="L51" s="50"/>
      <c r="M51" s="50"/>
      <c r="N51" s="50"/>
      <c r="O51" s="50"/>
      <c r="P51" s="50"/>
      <c r="Q51" s="50"/>
      <c r="R51" s="50"/>
    </row>
    <row r="52" spans="1:18" ht="15.75">
      <c r="A52" s="232"/>
      <c r="B52" s="244"/>
      <c r="C52" s="137" t="s">
        <v>118</v>
      </c>
      <c r="D52" s="138" t="str">
        <f>$F$3</f>
        <v>Spring Wheat</v>
      </c>
      <c r="E52" s="138" t="s">
        <v>23</v>
      </c>
      <c r="F52" s="138"/>
      <c r="G52" s="138"/>
      <c r="H52" s="244"/>
      <c r="I52" s="198">
        <f>SUM(I12:I50)</f>
        <v>75909.60627777776</v>
      </c>
      <c r="J52" s="198">
        <f>SUM(J12:J50)</f>
        <v>6339.789</v>
      </c>
      <c r="K52" s="5"/>
      <c r="L52" s="50"/>
      <c r="M52" s="50"/>
      <c r="N52" s="50"/>
      <c r="O52" s="50"/>
      <c r="P52" s="50"/>
      <c r="Q52" s="50"/>
      <c r="R52" s="50"/>
    </row>
    <row r="53" spans="1:18" ht="15.75">
      <c r="A53" s="232"/>
      <c r="B53" s="7"/>
      <c r="C53" s="7"/>
      <c r="D53" s="7"/>
      <c r="E53" s="7"/>
      <c r="F53" s="7"/>
      <c r="G53" s="7"/>
      <c r="H53" s="194" t="s">
        <v>179</v>
      </c>
      <c r="I53" s="195">
        <f>IF(F6=0,0,I52/F6)</f>
        <v>101.21280837037034</v>
      </c>
      <c r="J53" s="197">
        <f>IF(F6=0,0,J52/F6)</f>
        <v>8.453052</v>
      </c>
      <c r="K53" s="1"/>
      <c r="L53" s="50"/>
      <c r="M53" s="50"/>
      <c r="N53" s="50"/>
      <c r="O53" s="50"/>
      <c r="P53" s="50"/>
      <c r="Q53" s="50"/>
      <c r="R53" s="50"/>
    </row>
    <row r="54" spans="1:18" ht="15.75">
      <c r="A54" s="232"/>
      <c r="B54" s="7"/>
      <c r="C54" s="7"/>
      <c r="D54" s="7"/>
      <c r="E54" s="7"/>
      <c r="F54" s="7"/>
      <c r="G54" s="7"/>
      <c r="H54" s="7"/>
      <c r="I54" s="196" t="s">
        <v>178</v>
      </c>
      <c r="J54" s="195">
        <f>I53+J53</f>
        <v>109.66586037037034</v>
      </c>
      <c r="K54" s="1"/>
      <c r="L54" s="50"/>
      <c r="M54" s="50"/>
      <c r="N54" s="50"/>
      <c r="O54" s="50"/>
      <c r="P54" s="50"/>
      <c r="Q54" s="50"/>
      <c r="R54" s="50"/>
    </row>
    <row r="55" spans="1:18" ht="15.75">
      <c r="A55" s="232"/>
      <c r="B55" s="50"/>
      <c r="C55" s="50"/>
      <c r="D55" s="50"/>
      <c r="E55" s="50"/>
      <c r="F55" s="50"/>
      <c r="G55" s="50"/>
      <c r="H55" s="50"/>
      <c r="I55" s="253" t="s">
        <v>198</v>
      </c>
      <c r="J55" s="195">
        <f>IF(F5=0,"NA",J54/F5)</f>
        <v>3.9166378703703693</v>
      </c>
      <c r="K55" s="50"/>
      <c r="L55" s="50"/>
      <c r="M55" s="50"/>
      <c r="N55" s="50"/>
      <c r="O55" s="50"/>
      <c r="P55" s="50"/>
      <c r="Q55" s="50"/>
      <c r="R55" s="50"/>
    </row>
    <row r="56" spans="1:18" ht="15.75">
      <c r="A56" s="232"/>
      <c r="B56" s="50"/>
      <c r="C56" s="50"/>
      <c r="D56" s="50"/>
      <c r="E56" s="50"/>
      <c r="F56" s="50"/>
      <c r="G56" s="50"/>
      <c r="H56" s="50"/>
      <c r="I56" s="196" t="s">
        <v>227</v>
      </c>
      <c r="J56" s="286">
        <f>F6*J54</f>
        <v>82249.39527777776</v>
      </c>
      <c r="K56" s="50"/>
      <c r="L56" s="50"/>
      <c r="M56" s="50"/>
      <c r="N56" s="50"/>
      <c r="O56" s="50"/>
      <c r="P56" s="50"/>
      <c r="Q56" s="50"/>
      <c r="R56" s="50"/>
    </row>
    <row r="57" spans="1:18" ht="15.75">
      <c r="A57" s="232"/>
      <c r="B57" s="50"/>
      <c r="C57" s="50"/>
      <c r="D57" s="50"/>
      <c r="E57" s="50"/>
      <c r="F57" s="50"/>
      <c r="G57" s="50"/>
      <c r="H57" s="50"/>
      <c r="I57" s="50"/>
      <c r="J57" s="50"/>
      <c r="K57" s="50"/>
      <c r="L57" s="50"/>
      <c r="M57" s="50"/>
      <c r="N57" s="50"/>
      <c r="O57" s="50"/>
      <c r="P57" s="50"/>
      <c r="Q57" s="50"/>
      <c r="R57" s="50"/>
    </row>
    <row r="58" spans="1:18" ht="15.75">
      <c r="A58" s="232"/>
      <c r="B58" s="50"/>
      <c r="C58" s="50"/>
      <c r="D58" s="50"/>
      <c r="E58" s="50"/>
      <c r="F58" s="50"/>
      <c r="G58" s="50"/>
      <c r="H58" s="50"/>
      <c r="I58" s="50"/>
      <c r="J58" s="50"/>
      <c r="K58" s="50"/>
      <c r="L58" s="50"/>
      <c r="M58" s="50"/>
      <c r="N58" s="50"/>
      <c r="O58" s="50"/>
      <c r="P58" s="50"/>
      <c r="Q58" s="50"/>
      <c r="R58" s="50"/>
    </row>
  </sheetData>
  <sheetProtection sheet="1" formatCells="0" formatColumns="0" formatRows="0"/>
  <mergeCells count="6">
    <mergeCell ref="I3:I4"/>
    <mergeCell ref="J3:J4"/>
    <mergeCell ref="E3:E4"/>
    <mergeCell ref="F3:F4"/>
    <mergeCell ref="G3:G4"/>
    <mergeCell ref="H3:H4"/>
  </mergeCells>
  <printOptions/>
  <pageMargins left="0.75" right="0.75" top="1" bottom="1" header="0.5" footer="0.5"/>
  <pageSetup fitToHeight="1" fitToWidth="1" horizontalDpi="300" verticalDpi="300" orientation="portrait" scale="47"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Q63"/>
  <sheetViews>
    <sheetView showGridLines="0" zoomScalePageLayoutView="0" workbookViewId="0" topLeftCell="A1">
      <selection activeCell="A1" sqref="A1"/>
    </sheetView>
  </sheetViews>
  <sheetFormatPr defaultColWidth="8.796875" defaultRowHeight="15"/>
  <cols>
    <col min="1" max="1" width="4.09765625" style="120" customWidth="1"/>
    <col min="2" max="4" width="12.69921875" style="0" customWidth="1"/>
    <col min="5" max="10" width="11.69921875" style="0" customWidth="1"/>
  </cols>
  <sheetData>
    <row r="1" spans="1:17" ht="15.75">
      <c r="A1" s="232"/>
      <c r="B1" s="50"/>
      <c r="C1" s="50"/>
      <c r="D1" s="50"/>
      <c r="E1" s="50"/>
      <c r="F1" s="50"/>
      <c r="G1" s="50"/>
      <c r="H1" s="50"/>
      <c r="I1" s="50"/>
      <c r="J1" s="50"/>
      <c r="K1" s="50"/>
      <c r="L1" s="50"/>
      <c r="M1" s="50"/>
      <c r="N1" s="50"/>
      <c r="O1" s="50"/>
      <c r="P1" s="50"/>
      <c r="Q1" s="50"/>
    </row>
    <row r="2" spans="1:17" ht="16.5" thickBot="1">
      <c r="A2" s="232"/>
      <c r="B2" s="50"/>
      <c r="C2" s="50"/>
      <c r="D2" s="50"/>
      <c r="E2" s="208" t="str">
        <f>'Revenue&amp;FixedCosts'!C8</f>
        <v>Crop#1</v>
      </c>
      <c r="F2" s="208" t="str">
        <f>'Revenue&amp;FixedCosts'!D8</f>
        <v>Crop#2</v>
      </c>
      <c r="G2" s="258" t="str">
        <f>'Revenue&amp;FixedCosts'!E8</f>
        <v>Crop#3</v>
      </c>
      <c r="H2" s="208" t="str">
        <f>'Revenue&amp;FixedCosts'!F8</f>
        <v>Crop#4</v>
      </c>
      <c r="I2" s="208" t="str">
        <f>'Revenue&amp;FixedCosts'!G8</f>
        <v>Crop#5</v>
      </c>
      <c r="J2" s="208" t="str">
        <f>'Revenue&amp;FixedCosts'!H8</f>
        <v>Crop#6</v>
      </c>
      <c r="K2" s="50"/>
      <c r="L2" s="50"/>
      <c r="M2" s="50"/>
      <c r="N2" s="50"/>
      <c r="O2" s="50"/>
      <c r="P2" s="50"/>
      <c r="Q2" s="50"/>
    </row>
    <row r="3" spans="1:17" ht="15.75">
      <c r="A3" s="232"/>
      <c r="B3" s="50"/>
      <c r="C3" s="50"/>
      <c r="D3" s="50"/>
      <c r="E3" s="290" t="str">
        <f>'Revenue&amp;FixedCosts'!C9</f>
        <v>Winter Wheat</v>
      </c>
      <c r="F3" s="290" t="str">
        <f>'Revenue&amp;FixedCosts'!D9</f>
        <v>Spring Wheat</v>
      </c>
      <c r="G3" s="292" t="str">
        <f>'Revenue&amp;FixedCosts'!E9</f>
        <v>Durum</v>
      </c>
      <c r="H3" s="290" t="str">
        <f>'Revenue&amp;FixedCosts'!F9</f>
        <v>Malt Barley</v>
      </c>
      <c r="I3" s="290" t="str">
        <f>'Revenue&amp;FixedCosts'!G9</f>
        <v>Summer Fallow</v>
      </c>
      <c r="J3" s="290" t="str">
        <f>'Revenue&amp;FixedCosts'!H9</f>
        <v>Not Used</v>
      </c>
      <c r="K3" s="50"/>
      <c r="L3" s="50"/>
      <c r="M3" s="50"/>
      <c r="N3" s="50"/>
      <c r="O3" s="50"/>
      <c r="P3" s="50"/>
      <c r="Q3" s="50"/>
    </row>
    <row r="4" spans="1:17" ht="15.75">
      <c r="A4" s="232"/>
      <c r="B4" s="50"/>
      <c r="C4" s="50"/>
      <c r="D4" s="50"/>
      <c r="E4" s="291"/>
      <c r="F4" s="291"/>
      <c r="G4" s="293"/>
      <c r="H4" s="291"/>
      <c r="I4" s="291"/>
      <c r="J4" s="291"/>
      <c r="K4" s="50"/>
      <c r="L4" s="50"/>
      <c r="M4" s="50"/>
      <c r="N4" s="50"/>
      <c r="O4" s="50"/>
      <c r="P4" s="50"/>
      <c r="Q4" s="50"/>
    </row>
    <row r="5" spans="1:17" ht="15.75">
      <c r="A5" s="232"/>
      <c r="B5" s="50"/>
      <c r="C5" s="50"/>
      <c r="D5" s="50" t="str">
        <f>'Revenue&amp;FixedCosts'!B12</f>
        <v>Expected Yield</v>
      </c>
      <c r="E5" s="209">
        <f>'Revenue&amp;FixedCosts'!C12</f>
        <v>42</v>
      </c>
      <c r="F5" s="209">
        <f>'Revenue&amp;FixedCosts'!D12</f>
        <v>28</v>
      </c>
      <c r="G5" s="259">
        <f>'Revenue&amp;FixedCosts'!E12</f>
        <v>22</v>
      </c>
      <c r="H5" s="209">
        <f>'Revenue&amp;FixedCosts'!F12</f>
        <v>52</v>
      </c>
      <c r="I5" s="209">
        <f>'Revenue&amp;FixedCosts'!G12</f>
        <v>0</v>
      </c>
      <c r="J5" s="209">
        <f>'Revenue&amp;FixedCosts'!H12</f>
        <v>0</v>
      </c>
      <c r="K5" s="50"/>
      <c r="L5" s="50"/>
      <c r="M5" s="50"/>
      <c r="N5" s="50"/>
      <c r="O5" s="50"/>
      <c r="P5" s="50"/>
      <c r="Q5" s="50"/>
    </row>
    <row r="6" spans="1:17" ht="15.75">
      <c r="A6" s="232"/>
      <c r="B6" s="7" t="s">
        <v>121</v>
      </c>
      <c r="C6" s="7"/>
      <c r="D6" s="50" t="s">
        <v>199</v>
      </c>
      <c r="E6" s="209">
        <f>'Revenue&amp;FixedCosts'!C11</f>
        <v>400</v>
      </c>
      <c r="F6" s="209">
        <f>'Revenue&amp;FixedCosts'!D11</f>
        <v>750</v>
      </c>
      <c r="G6" s="260">
        <f>'Revenue&amp;FixedCosts'!$E$11</f>
        <v>500</v>
      </c>
      <c r="H6" s="209">
        <f>'Revenue&amp;FixedCosts'!F11</f>
        <v>300</v>
      </c>
      <c r="I6" s="209">
        <f>'Revenue&amp;FixedCosts'!G11</f>
        <v>550</v>
      </c>
      <c r="J6" s="209">
        <f>'Revenue&amp;FixedCosts'!H11</f>
        <v>0</v>
      </c>
      <c r="K6" s="1"/>
      <c r="O6" s="50"/>
      <c r="P6" s="50"/>
      <c r="Q6" s="50"/>
    </row>
    <row r="7" spans="1:17" ht="18.75">
      <c r="A7" s="232"/>
      <c r="B7" s="41" t="str">
        <f>'Revenue&amp;FixedCosts'!$E$9</f>
        <v>Durum</v>
      </c>
      <c r="C7" s="50"/>
      <c r="E7" s="18" t="s">
        <v>48</v>
      </c>
      <c r="F7" s="10"/>
      <c r="G7" s="10"/>
      <c r="H7" s="10"/>
      <c r="I7" s="10"/>
      <c r="J7" s="10"/>
      <c r="K7" s="5"/>
      <c r="L7" s="50"/>
      <c r="M7" s="50"/>
      <c r="N7" s="50"/>
      <c r="O7" s="50"/>
      <c r="P7" s="50"/>
      <c r="Q7" s="50"/>
    </row>
    <row r="8" spans="1:17" ht="15" customHeight="1">
      <c r="A8" s="232"/>
      <c r="B8" s="10"/>
      <c r="C8" s="10"/>
      <c r="D8" s="10"/>
      <c r="E8" s="11"/>
      <c r="F8" s="14" t="s">
        <v>35</v>
      </c>
      <c r="G8" s="15" t="s">
        <v>36</v>
      </c>
      <c r="H8" s="15" t="s">
        <v>2</v>
      </c>
      <c r="I8" s="15" t="s">
        <v>3</v>
      </c>
      <c r="J8" s="15" t="s">
        <v>3</v>
      </c>
      <c r="K8" s="5"/>
      <c r="L8" s="50"/>
      <c r="M8" s="50"/>
      <c r="N8" s="50"/>
      <c r="O8" s="50"/>
      <c r="P8" s="50"/>
      <c r="Q8" s="50"/>
    </row>
    <row r="9" spans="1:17" ht="15" customHeight="1">
      <c r="A9" s="232"/>
      <c r="B9" s="7"/>
      <c r="C9" s="7"/>
      <c r="D9" s="7"/>
      <c r="E9" s="12"/>
      <c r="F9" s="13" t="s">
        <v>37</v>
      </c>
      <c r="G9" s="9" t="s">
        <v>37</v>
      </c>
      <c r="H9" s="9" t="s">
        <v>7</v>
      </c>
      <c r="I9" s="265" t="s">
        <v>7</v>
      </c>
      <c r="J9" s="266" t="s">
        <v>6</v>
      </c>
      <c r="K9" s="5"/>
      <c r="L9" s="50"/>
      <c r="M9" s="50"/>
      <c r="N9" s="50"/>
      <c r="O9" s="50"/>
      <c r="P9" s="50"/>
      <c r="Q9" s="50"/>
    </row>
    <row r="10" spans="1:17" ht="15" customHeight="1">
      <c r="A10" s="232"/>
      <c r="B10" s="41" t="s">
        <v>159</v>
      </c>
      <c r="C10" s="7"/>
      <c r="D10" s="7"/>
      <c r="E10" s="19" t="s">
        <v>38</v>
      </c>
      <c r="F10" s="13" t="s">
        <v>39</v>
      </c>
      <c r="G10" s="9" t="s">
        <v>39</v>
      </c>
      <c r="H10" s="9" t="s">
        <v>9</v>
      </c>
      <c r="I10" s="9" t="s">
        <v>9</v>
      </c>
      <c r="J10" s="9" t="s">
        <v>9</v>
      </c>
      <c r="K10" s="5"/>
      <c r="L10" s="50"/>
      <c r="M10" s="50"/>
      <c r="N10" s="50"/>
      <c r="O10" s="50"/>
      <c r="P10" s="50"/>
      <c r="Q10" s="50"/>
    </row>
    <row r="11" spans="1:17" ht="15.75">
      <c r="A11" s="232"/>
      <c r="B11" s="10"/>
      <c r="C11" s="10"/>
      <c r="D11" s="10"/>
      <c r="E11" s="158"/>
      <c r="F11" s="158"/>
      <c r="G11" s="158"/>
      <c r="H11" s="158"/>
      <c r="I11" s="158"/>
      <c r="J11" s="158"/>
      <c r="K11" s="5"/>
      <c r="L11" s="50"/>
      <c r="M11" s="50"/>
      <c r="N11" s="50"/>
      <c r="O11" s="50"/>
      <c r="P11" s="50"/>
      <c r="Q11" s="50"/>
    </row>
    <row r="12" spans="1:17" ht="15.75">
      <c r="A12" s="232"/>
      <c r="B12" s="30" t="s">
        <v>139</v>
      </c>
      <c r="C12" s="7"/>
      <c r="D12" s="7"/>
      <c r="E12" s="140" t="s">
        <v>40</v>
      </c>
      <c r="F12" s="205">
        <v>15</v>
      </c>
      <c r="G12" s="133">
        <v>1</v>
      </c>
      <c r="H12" s="141">
        <v>1</v>
      </c>
      <c r="I12" s="152">
        <f aca="true" t="shared" si="0" ref="I12:I21">F12*G12*H12*$G$6</f>
        <v>7500</v>
      </c>
      <c r="J12" s="152">
        <f aca="true" t="shared" si="1" ref="J12:J21">F12*G12*(1-H12)*$G$6</f>
        <v>0</v>
      </c>
      <c r="K12" s="5"/>
      <c r="L12" s="50"/>
      <c r="M12" s="50"/>
      <c r="N12" s="50"/>
      <c r="O12" s="50"/>
      <c r="P12" s="50"/>
      <c r="Q12" s="50"/>
    </row>
    <row r="13" spans="1:17" ht="15.75">
      <c r="A13" s="232"/>
      <c r="B13" s="30" t="s">
        <v>140</v>
      </c>
      <c r="C13" s="21"/>
      <c r="D13" s="233"/>
      <c r="E13" s="140" t="s">
        <v>41</v>
      </c>
      <c r="F13" s="205">
        <v>16</v>
      </c>
      <c r="G13" s="133">
        <v>1</v>
      </c>
      <c r="H13" s="141">
        <v>1</v>
      </c>
      <c r="I13" s="152">
        <f t="shared" si="0"/>
        <v>8000</v>
      </c>
      <c r="J13" s="152">
        <f t="shared" si="1"/>
        <v>0</v>
      </c>
      <c r="K13" s="5"/>
      <c r="L13" s="50"/>
      <c r="M13" s="50"/>
      <c r="N13" s="50"/>
      <c r="O13" s="50"/>
      <c r="P13" s="50"/>
      <c r="Q13" s="50"/>
    </row>
    <row r="14" spans="1:17" ht="15.75">
      <c r="A14" s="232"/>
      <c r="B14" s="202"/>
      <c r="C14" s="203"/>
      <c r="D14" s="8"/>
      <c r="E14" s="140" t="s">
        <v>41</v>
      </c>
      <c r="F14" s="205">
        <v>0</v>
      </c>
      <c r="G14" s="133">
        <v>1</v>
      </c>
      <c r="H14" s="141">
        <v>1</v>
      </c>
      <c r="I14" s="152">
        <f t="shared" si="0"/>
        <v>0</v>
      </c>
      <c r="J14" s="152">
        <f t="shared" si="1"/>
        <v>0</v>
      </c>
      <c r="K14" s="5"/>
      <c r="L14" s="50"/>
      <c r="M14" s="50"/>
      <c r="N14" s="50"/>
      <c r="O14" s="50"/>
      <c r="P14" s="50"/>
      <c r="Q14" s="50"/>
    </row>
    <row r="15" spans="1:17" ht="15.75">
      <c r="A15" s="232"/>
      <c r="B15" s="202"/>
      <c r="C15" s="203"/>
      <c r="D15" s="8"/>
      <c r="E15" s="140" t="s">
        <v>41</v>
      </c>
      <c r="F15" s="205">
        <v>0</v>
      </c>
      <c r="G15" s="133">
        <v>1</v>
      </c>
      <c r="H15" s="141">
        <v>1</v>
      </c>
      <c r="I15" s="152">
        <f t="shared" si="0"/>
        <v>0</v>
      </c>
      <c r="J15" s="152">
        <f t="shared" si="1"/>
        <v>0</v>
      </c>
      <c r="K15" s="5"/>
      <c r="L15" s="50"/>
      <c r="M15" s="164"/>
      <c r="N15" s="50"/>
      <c r="O15" s="50"/>
      <c r="P15" s="234" t="s">
        <v>184</v>
      </c>
      <c r="Q15" s="50"/>
    </row>
    <row r="16" spans="1:17" ht="15.75">
      <c r="A16" s="232"/>
      <c r="B16" s="30" t="s">
        <v>162</v>
      </c>
      <c r="C16" s="7"/>
      <c r="D16" s="21"/>
      <c r="E16" s="140" t="s">
        <v>42</v>
      </c>
      <c r="F16" s="205">
        <v>0</v>
      </c>
      <c r="G16" s="133">
        <v>1</v>
      </c>
      <c r="H16" s="141">
        <v>1</v>
      </c>
      <c r="I16" s="152">
        <f t="shared" si="0"/>
        <v>0</v>
      </c>
      <c r="J16" s="152">
        <f t="shared" si="1"/>
        <v>0</v>
      </c>
      <c r="K16" s="5"/>
      <c r="L16" s="50"/>
      <c r="M16" s="164"/>
      <c r="N16" s="50"/>
      <c r="O16" s="50"/>
      <c r="P16" s="235" t="s">
        <v>185</v>
      </c>
      <c r="Q16" s="50"/>
    </row>
    <row r="17" spans="1:17" ht="15.75">
      <c r="A17" s="232"/>
      <c r="B17" s="30" t="s">
        <v>141</v>
      </c>
      <c r="C17" s="21"/>
      <c r="D17" s="233"/>
      <c r="E17" s="140" t="s">
        <v>43</v>
      </c>
      <c r="F17" s="205">
        <v>0</v>
      </c>
      <c r="G17" s="133">
        <v>1</v>
      </c>
      <c r="H17" s="141">
        <v>0</v>
      </c>
      <c r="I17" s="152">
        <f t="shared" si="0"/>
        <v>0</v>
      </c>
      <c r="J17" s="152">
        <f t="shared" si="1"/>
        <v>0</v>
      </c>
      <c r="K17" s="5"/>
      <c r="L17" s="50"/>
      <c r="M17" s="164"/>
      <c r="N17" s="50"/>
      <c r="O17" s="50"/>
      <c r="P17" s="236" t="s">
        <v>186</v>
      </c>
      <c r="Q17" s="50"/>
    </row>
    <row r="18" spans="1:17" ht="15.75">
      <c r="A18" s="232"/>
      <c r="B18" s="202"/>
      <c r="C18" s="203" t="s">
        <v>176</v>
      </c>
      <c r="D18" s="20"/>
      <c r="E18" s="140" t="s">
        <v>174</v>
      </c>
      <c r="F18" s="205">
        <v>550</v>
      </c>
      <c r="G18" s="133">
        <v>0.024</v>
      </c>
      <c r="H18" s="141">
        <v>0.754</v>
      </c>
      <c r="I18" s="152">
        <f t="shared" si="0"/>
        <v>4976.400000000001</v>
      </c>
      <c r="J18" s="152">
        <f t="shared" si="1"/>
        <v>1623.6000000000001</v>
      </c>
      <c r="K18" s="5"/>
      <c r="L18" s="50"/>
      <c r="M18" s="164"/>
      <c r="N18" s="199" t="s">
        <v>176</v>
      </c>
      <c r="O18" s="251">
        <v>0.024038461538461543</v>
      </c>
      <c r="P18" s="237">
        <f>2000*O18</f>
        <v>48.07692307692309</v>
      </c>
      <c r="Q18" s="50"/>
    </row>
    <row r="19" spans="1:17" ht="15.75">
      <c r="A19" s="232"/>
      <c r="B19" s="202"/>
      <c r="C19" s="203" t="s">
        <v>175</v>
      </c>
      <c r="D19" s="8"/>
      <c r="E19" s="140" t="s">
        <v>197</v>
      </c>
      <c r="F19" s="205">
        <v>0.4</v>
      </c>
      <c r="G19" s="133">
        <v>100</v>
      </c>
      <c r="H19" s="141">
        <v>0.754</v>
      </c>
      <c r="I19" s="152">
        <f t="shared" si="0"/>
        <v>15080</v>
      </c>
      <c r="J19" s="152">
        <f t="shared" si="1"/>
        <v>4920</v>
      </c>
      <c r="K19" s="5"/>
      <c r="L19" s="50"/>
      <c r="M19" s="164" t="s">
        <v>181</v>
      </c>
      <c r="N19" s="112">
        <f>2000*0.11</f>
        <v>220</v>
      </c>
      <c r="O19" s="238">
        <f>N19*$O$18</f>
        <v>5.288461538461539</v>
      </c>
      <c r="P19" s="50"/>
      <c r="Q19" s="50"/>
    </row>
    <row r="20" spans="1:17" ht="15.75">
      <c r="A20" s="232"/>
      <c r="B20" s="30" t="s">
        <v>163</v>
      </c>
      <c r="C20" s="7"/>
      <c r="D20" s="7"/>
      <c r="E20" s="140" t="s">
        <v>42</v>
      </c>
      <c r="F20" s="205">
        <v>4</v>
      </c>
      <c r="G20" s="133">
        <v>1</v>
      </c>
      <c r="H20" s="141">
        <v>1</v>
      </c>
      <c r="I20" s="152">
        <f t="shared" si="0"/>
        <v>2000</v>
      </c>
      <c r="J20" s="152">
        <f t="shared" si="1"/>
        <v>0</v>
      </c>
      <c r="K20" s="5"/>
      <c r="L20" s="50"/>
      <c r="M20" s="164" t="s">
        <v>182</v>
      </c>
      <c r="N20" s="112">
        <f>2000*0.52</f>
        <v>1040</v>
      </c>
      <c r="O20" s="238">
        <f>N20*$O$18</f>
        <v>25.000000000000004</v>
      </c>
      <c r="P20" s="50"/>
      <c r="Q20" s="50"/>
    </row>
    <row r="21" spans="1:17" ht="15.75">
      <c r="A21" s="232"/>
      <c r="B21" s="30" t="s">
        <v>142</v>
      </c>
      <c r="C21" s="7"/>
      <c r="D21" s="7"/>
      <c r="E21" s="140" t="s">
        <v>42</v>
      </c>
      <c r="F21" s="205">
        <v>10</v>
      </c>
      <c r="G21" s="133">
        <v>1</v>
      </c>
      <c r="H21" s="141">
        <v>1</v>
      </c>
      <c r="I21" s="152">
        <f t="shared" si="0"/>
        <v>5000</v>
      </c>
      <c r="J21" s="152">
        <f t="shared" si="1"/>
        <v>0</v>
      </c>
      <c r="K21" s="5"/>
      <c r="L21" s="50"/>
      <c r="M21" s="201" t="s">
        <v>183</v>
      </c>
      <c r="N21" s="113">
        <f>2000-(N19+N20)</f>
        <v>740</v>
      </c>
      <c r="O21" s="238">
        <f>N21*$O$18</f>
        <v>17.788461538461544</v>
      </c>
      <c r="P21" s="50"/>
      <c r="Q21" s="50"/>
    </row>
    <row r="22" spans="1:17" ht="15.75">
      <c r="A22" s="232"/>
      <c r="B22" s="30" t="s">
        <v>177</v>
      </c>
      <c r="C22" s="7"/>
      <c r="D22" s="7"/>
      <c r="E22" s="239"/>
      <c r="F22" s="240"/>
      <c r="G22" s="241"/>
      <c r="H22" s="242"/>
      <c r="I22" s="157"/>
      <c r="J22" s="157"/>
      <c r="K22" s="5"/>
      <c r="L22" s="50"/>
      <c r="M22" s="164" t="s">
        <v>187</v>
      </c>
      <c r="N22" s="112">
        <f>SUM(N19:N21)</f>
        <v>2000</v>
      </c>
      <c r="O22" s="50"/>
      <c r="P22" s="50"/>
      <c r="Q22" s="50"/>
    </row>
    <row r="23" spans="1:17" ht="15.75">
      <c r="A23" s="232"/>
      <c r="B23" s="6" t="s">
        <v>137</v>
      </c>
      <c r="C23" s="7"/>
      <c r="D23" s="7"/>
      <c r="E23" s="140" t="s">
        <v>41</v>
      </c>
      <c r="F23" s="205">
        <f>(7706+6652+2221+385+333+111)/4500</f>
        <v>3.8684444444444446</v>
      </c>
      <c r="G23" s="133">
        <v>1</v>
      </c>
      <c r="H23" s="141">
        <v>1</v>
      </c>
      <c r="I23" s="152">
        <f>F23*G23*H23*$G$6</f>
        <v>1934.2222222222224</v>
      </c>
      <c r="J23" s="152">
        <f>F23*G23*(1-H23)*$G$6</f>
        <v>0</v>
      </c>
      <c r="K23" s="5"/>
      <c r="L23" s="50"/>
      <c r="M23" s="164" t="s">
        <v>188</v>
      </c>
      <c r="N23" s="250">
        <v>1100</v>
      </c>
      <c r="O23" s="50"/>
      <c r="P23" s="50"/>
      <c r="Q23" s="50"/>
    </row>
    <row r="24" spans="1:17" ht="15.75">
      <c r="A24" s="232"/>
      <c r="B24" s="6" t="s">
        <v>138</v>
      </c>
      <c r="C24" s="7"/>
      <c r="D24" s="7"/>
      <c r="E24" s="140" t="s">
        <v>41</v>
      </c>
      <c r="F24" s="205">
        <f>(1168+1911+947+1425)/4500</f>
        <v>1.2113333333333334</v>
      </c>
      <c r="G24" s="133"/>
      <c r="H24" s="141">
        <v>1</v>
      </c>
      <c r="I24" s="152">
        <f>F24*G24*H24*$G$6</f>
        <v>0</v>
      </c>
      <c r="J24" s="152">
        <f>F24*G24*(1-H24)*$G$6</f>
        <v>0</v>
      </c>
      <c r="K24" s="5"/>
      <c r="L24" s="50"/>
      <c r="M24" s="50"/>
      <c r="N24" s="200">
        <f>N23/2000</f>
        <v>0.55</v>
      </c>
      <c r="O24" s="164" t="s">
        <v>189</v>
      </c>
      <c r="P24" s="50"/>
      <c r="Q24" s="50"/>
    </row>
    <row r="25" spans="1:17" ht="15.75">
      <c r="A25" s="232"/>
      <c r="B25" s="30" t="s">
        <v>143</v>
      </c>
      <c r="C25" s="7"/>
      <c r="D25" s="7"/>
      <c r="E25" s="239"/>
      <c r="F25" s="240"/>
      <c r="G25" s="241"/>
      <c r="H25" s="242"/>
      <c r="I25" s="157"/>
      <c r="J25" s="157"/>
      <c r="K25" s="5"/>
      <c r="L25" s="50"/>
      <c r="M25" s="164"/>
      <c r="N25" s="50"/>
      <c r="O25" s="50"/>
      <c r="P25" s="50"/>
      <c r="Q25" s="50"/>
    </row>
    <row r="26" spans="1:17" ht="15.75">
      <c r="A26" s="232"/>
      <c r="B26" s="6" t="s">
        <v>137</v>
      </c>
      <c r="C26" s="7"/>
      <c r="D26" s="7"/>
      <c r="E26" s="140" t="s">
        <v>41</v>
      </c>
      <c r="F26" s="205">
        <f>(2700+135+6738+2166+337+108)/4500</f>
        <v>2.7075555555555555</v>
      </c>
      <c r="G26" s="133">
        <v>1</v>
      </c>
      <c r="H26" s="141">
        <v>1</v>
      </c>
      <c r="I26" s="152">
        <f>F26*G26*H26*$G$6</f>
        <v>1353.7777777777778</v>
      </c>
      <c r="J26" s="152">
        <f>F26*G26*(1-H26)*$G$6</f>
        <v>0</v>
      </c>
      <c r="K26" s="5"/>
      <c r="L26" s="50"/>
      <c r="M26" s="164"/>
      <c r="N26" s="50"/>
      <c r="O26" s="50"/>
      <c r="P26" s="50"/>
      <c r="Q26" s="50"/>
    </row>
    <row r="27" spans="1:17" ht="15.75">
      <c r="A27" s="232"/>
      <c r="B27" s="6" t="s">
        <v>138</v>
      </c>
      <c r="C27" s="7"/>
      <c r="D27" s="7"/>
      <c r="E27" s="140" t="s">
        <v>41</v>
      </c>
      <c r="F27" s="205">
        <f>(4957+7643+2917+804)/4500</f>
        <v>3.626888888888889</v>
      </c>
      <c r="G27" s="133"/>
      <c r="H27" s="141">
        <v>1</v>
      </c>
      <c r="I27" s="152">
        <f>F27*G27*H27*$G$6</f>
        <v>0</v>
      </c>
      <c r="J27" s="152">
        <f>F27*G27*(1-H27)*$G$6</f>
        <v>0</v>
      </c>
      <c r="K27" s="5"/>
      <c r="L27" s="50"/>
      <c r="M27" s="164"/>
      <c r="N27" s="116" t="s">
        <v>175</v>
      </c>
      <c r="O27" s="50"/>
      <c r="P27" s="50"/>
      <c r="Q27" s="50"/>
    </row>
    <row r="28" spans="1:17" ht="15.75">
      <c r="A28" s="232"/>
      <c r="B28" s="30" t="s">
        <v>144</v>
      </c>
      <c r="C28" s="7"/>
      <c r="D28" s="7"/>
      <c r="E28" s="154"/>
      <c r="F28" s="206" t="s">
        <v>44</v>
      </c>
      <c r="G28" s="155"/>
      <c r="H28" s="156"/>
      <c r="I28" s="157"/>
      <c r="J28" s="157"/>
      <c r="K28" s="5"/>
      <c r="L28" s="50"/>
      <c r="M28" s="164"/>
      <c r="N28" s="112">
        <f>2000*0.46</f>
        <v>920</v>
      </c>
      <c r="O28" s="50" t="s">
        <v>180</v>
      </c>
      <c r="P28" s="50"/>
      <c r="Q28" s="50"/>
    </row>
    <row r="29" spans="1:17" ht="15.75">
      <c r="A29" s="232"/>
      <c r="B29" s="6" t="s">
        <v>151</v>
      </c>
      <c r="C29" s="7"/>
      <c r="D29" s="7"/>
      <c r="E29" s="140" t="s">
        <v>45</v>
      </c>
      <c r="F29" s="205">
        <v>0</v>
      </c>
      <c r="G29" s="133">
        <v>0</v>
      </c>
      <c r="H29" s="141">
        <v>1</v>
      </c>
      <c r="I29" s="152">
        <f>F29*G29*H29*$G$6</f>
        <v>0</v>
      </c>
      <c r="J29" s="152">
        <f>F29*G29*(1-H29)*$G$6</f>
        <v>0</v>
      </c>
      <c r="K29" s="5"/>
      <c r="L29" s="50"/>
      <c r="M29" s="164"/>
      <c r="N29" s="250">
        <v>600</v>
      </c>
      <c r="O29" s="50" t="s">
        <v>190</v>
      </c>
      <c r="P29" s="50"/>
      <c r="Q29" s="50"/>
    </row>
    <row r="30" spans="1:17" ht="15.75">
      <c r="A30" s="232"/>
      <c r="B30" s="6" t="s">
        <v>152</v>
      </c>
      <c r="C30" s="7"/>
      <c r="D30" s="7"/>
      <c r="E30" s="140" t="s">
        <v>45</v>
      </c>
      <c r="F30" s="205">
        <v>0</v>
      </c>
      <c r="G30" s="133">
        <v>0</v>
      </c>
      <c r="H30" s="141">
        <v>1</v>
      </c>
      <c r="I30" s="152">
        <f>F30*G30*H30*$G$6</f>
        <v>0</v>
      </c>
      <c r="J30" s="152">
        <f>F30*G30*(1-H30)*$G$6</f>
        <v>0</v>
      </c>
      <c r="K30" s="5"/>
      <c r="L30" s="50"/>
      <c r="M30" s="164"/>
      <c r="N30" s="200">
        <f>N29/920</f>
        <v>0.6521739130434783</v>
      </c>
      <c r="O30" s="50" t="s">
        <v>191</v>
      </c>
      <c r="P30" s="50"/>
      <c r="Q30" s="50"/>
    </row>
    <row r="31" spans="1:17" ht="15.75">
      <c r="A31" s="232"/>
      <c r="B31" s="6" t="s">
        <v>153</v>
      </c>
      <c r="C31" s="7"/>
      <c r="D31" s="7"/>
      <c r="E31" s="140" t="s">
        <v>45</v>
      </c>
      <c r="F31" s="205">
        <v>0</v>
      </c>
      <c r="G31" s="133">
        <v>0</v>
      </c>
      <c r="H31" s="161">
        <v>1</v>
      </c>
      <c r="I31" s="165">
        <f>F31*G31*H31*$G$6</f>
        <v>0</v>
      </c>
      <c r="J31" s="166">
        <f>F31*G31*(1-H31)*$G$6</f>
        <v>0</v>
      </c>
      <c r="K31" s="5"/>
      <c r="L31" s="50"/>
      <c r="M31" s="50"/>
      <c r="N31" s="50"/>
      <c r="O31" s="50"/>
      <c r="P31" s="50"/>
      <c r="Q31" s="50"/>
    </row>
    <row r="32" spans="1:17" ht="15.75">
      <c r="A32" s="232"/>
      <c r="B32" s="30" t="s">
        <v>145</v>
      </c>
      <c r="C32" s="7"/>
      <c r="D32" s="7"/>
      <c r="E32" s="158"/>
      <c r="F32" s="207" t="s">
        <v>44</v>
      </c>
      <c r="G32" s="158"/>
      <c r="H32" s="160"/>
      <c r="I32" s="160"/>
      <c r="J32" s="160"/>
      <c r="K32" s="5"/>
      <c r="L32" s="50"/>
      <c r="M32" s="50"/>
      <c r="N32" s="50"/>
      <c r="O32" s="50"/>
      <c r="P32" s="50"/>
      <c r="Q32" s="50"/>
    </row>
    <row r="33" spans="1:17" ht="15.75">
      <c r="A33" s="232"/>
      <c r="B33" s="6" t="s">
        <v>146</v>
      </c>
      <c r="C33" s="7"/>
      <c r="D33" s="7"/>
      <c r="E33" s="140" t="s">
        <v>45</v>
      </c>
      <c r="F33" s="205">
        <v>0</v>
      </c>
      <c r="G33" s="133">
        <v>1</v>
      </c>
      <c r="H33" s="160"/>
      <c r="I33" s="160"/>
      <c r="J33" s="152">
        <f>F33*G33*$G$6</f>
        <v>0</v>
      </c>
      <c r="K33" s="5"/>
      <c r="L33" s="50"/>
      <c r="M33" s="50"/>
      <c r="N33" s="50"/>
      <c r="O33" s="50"/>
      <c r="P33" s="50"/>
      <c r="Q33" s="50"/>
    </row>
    <row r="34" spans="1:17" ht="15.75">
      <c r="A34" s="232"/>
      <c r="B34" s="6" t="s">
        <v>147</v>
      </c>
      <c r="C34" s="7"/>
      <c r="D34" s="7"/>
      <c r="E34" s="140" t="s">
        <v>45</v>
      </c>
      <c r="F34" s="205">
        <v>10</v>
      </c>
      <c r="G34" s="133">
        <v>0.4</v>
      </c>
      <c r="H34" s="160"/>
      <c r="I34" s="159">
        <f>F34*G34*$G$6</f>
        <v>2000</v>
      </c>
      <c r="J34" s="160"/>
      <c r="K34" s="5"/>
      <c r="L34" s="50"/>
      <c r="M34" s="50"/>
      <c r="N34" s="50"/>
      <c r="O34" s="50"/>
      <c r="P34" s="50"/>
      <c r="Q34" s="50"/>
    </row>
    <row r="35" spans="1:17" ht="15.75">
      <c r="A35" s="232"/>
      <c r="B35" s="6" t="s">
        <v>148</v>
      </c>
      <c r="C35" s="7"/>
      <c r="D35" s="7"/>
      <c r="E35" s="140" t="s">
        <v>45</v>
      </c>
      <c r="F35" s="205">
        <v>0</v>
      </c>
      <c r="G35" s="133">
        <v>0.25</v>
      </c>
      <c r="H35" s="160"/>
      <c r="I35" s="159">
        <f>F35*G35*$G$6</f>
        <v>0</v>
      </c>
      <c r="J35" s="160"/>
      <c r="K35" s="5"/>
      <c r="L35" s="50"/>
      <c r="M35" s="50"/>
      <c r="N35" s="50"/>
      <c r="O35" s="50"/>
      <c r="P35" s="50"/>
      <c r="Q35" s="50"/>
    </row>
    <row r="36" spans="1:17" ht="15.75">
      <c r="A36" s="232"/>
      <c r="B36" s="6" t="s">
        <v>149</v>
      </c>
      <c r="C36" s="7"/>
      <c r="D36" s="7"/>
      <c r="E36" s="140" t="s">
        <v>45</v>
      </c>
      <c r="F36" s="205">
        <v>0</v>
      </c>
      <c r="G36" s="133">
        <v>1</v>
      </c>
      <c r="H36" s="160"/>
      <c r="I36" s="159">
        <f>F36*G36*$G$6</f>
        <v>0</v>
      </c>
      <c r="J36" s="160"/>
      <c r="K36" s="5"/>
      <c r="L36" s="50"/>
      <c r="M36" s="50"/>
      <c r="N36" s="50"/>
      <c r="O36" s="50"/>
      <c r="P36" s="50"/>
      <c r="Q36" s="50"/>
    </row>
    <row r="37" spans="1:17" ht="15.75">
      <c r="A37" s="232"/>
      <c r="B37" s="248" t="s">
        <v>164</v>
      </c>
      <c r="C37" s="8"/>
      <c r="D37" s="249"/>
      <c r="E37" s="140" t="s">
        <v>42</v>
      </c>
      <c r="F37" s="205">
        <v>0</v>
      </c>
      <c r="G37" s="133">
        <v>1</v>
      </c>
      <c r="H37" s="141">
        <v>1</v>
      </c>
      <c r="I37" s="152">
        <f>F37*G37*H37*$G$6</f>
        <v>0</v>
      </c>
      <c r="J37" s="152">
        <f>F37*G37*(1-H37)*$G$6</f>
        <v>0</v>
      </c>
      <c r="K37" s="5"/>
      <c r="L37" s="50"/>
      <c r="M37" s="50"/>
      <c r="N37" s="50"/>
      <c r="O37" s="50"/>
      <c r="P37" s="50"/>
      <c r="Q37" s="50"/>
    </row>
    <row r="38" spans="1:17" ht="15.75">
      <c r="A38" s="232"/>
      <c r="B38" s="248" t="s">
        <v>165</v>
      </c>
      <c r="C38" s="8"/>
      <c r="D38" s="249"/>
      <c r="E38" s="140" t="s">
        <v>42</v>
      </c>
      <c r="F38" s="205">
        <v>0</v>
      </c>
      <c r="G38" s="133">
        <v>1</v>
      </c>
      <c r="H38" s="141">
        <v>1</v>
      </c>
      <c r="I38" s="152">
        <f>F38*G38*H38*$G$6</f>
        <v>0</v>
      </c>
      <c r="J38" s="152">
        <f>F38*G38*(1-H38)*$G$6</f>
        <v>0</v>
      </c>
      <c r="K38" s="5"/>
      <c r="L38" s="50"/>
      <c r="M38" s="50"/>
      <c r="N38" s="50"/>
      <c r="O38" s="50"/>
      <c r="P38" s="50"/>
      <c r="Q38" s="50"/>
    </row>
    <row r="39" spans="1:17" ht="15.75">
      <c r="A39" s="232"/>
      <c r="B39" s="30" t="s">
        <v>150</v>
      </c>
      <c r="C39" s="7"/>
      <c r="D39" s="7"/>
      <c r="E39" s="140" t="s">
        <v>46</v>
      </c>
      <c r="F39" s="160"/>
      <c r="G39" s="160"/>
      <c r="H39" s="160"/>
      <c r="I39" s="152">
        <f>(SUM(I12:I31)+I37+I38)*'Revenue&amp;FixedCosts'!$D$17/12*$F$40</f>
        <v>1604.554</v>
      </c>
      <c r="J39" s="152">
        <f>(SUM(J12:J31)+J37+J38)*'Revenue&amp;FixedCosts'!$D$17/12*$F$40</f>
        <v>229.02600000000004</v>
      </c>
      <c r="K39" s="5"/>
      <c r="L39" s="50"/>
      <c r="M39" s="50"/>
      <c r="N39" s="50"/>
      <c r="O39" s="50"/>
      <c r="P39" s="50"/>
      <c r="Q39" s="50"/>
    </row>
    <row r="40" spans="1:17" ht="15.75">
      <c r="A40" s="232"/>
      <c r="B40" s="6" t="s">
        <v>158</v>
      </c>
      <c r="C40" s="7"/>
      <c r="D40" s="7"/>
      <c r="E40" s="160"/>
      <c r="F40" s="133">
        <v>6</v>
      </c>
      <c r="G40" s="160"/>
      <c r="H40" s="160"/>
      <c r="I40" s="162"/>
      <c r="J40" s="163"/>
      <c r="K40" s="5"/>
      <c r="L40" s="50"/>
      <c r="M40" s="50"/>
      <c r="N40" s="50"/>
      <c r="O40" s="50"/>
      <c r="P40" s="50"/>
      <c r="Q40" s="50"/>
    </row>
    <row r="41" spans="1:17" ht="18.75">
      <c r="A41" s="232"/>
      <c r="B41" s="136" t="s">
        <v>160</v>
      </c>
      <c r="C41" s="10"/>
      <c r="D41" s="10"/>
      <c r="E41" s="158"/>
      <c r="F41" s="158"/>
      <c r="G41" s="158"/>
      <c r="H41" s="158"/>
      <c r="I41" s="267" t="s">
        <v>7</v>
      </c>
      <c r="J41" s="268" t="s">
        <v>6</v>
      </c>
      <c r="K41" s="5"/>
      <c r="L41" s="50"/>
      <c r="M41" s="50"/>
      <c r="N41" s="50"/>
      <c r="O41" s="50"/>
      <c r="P41" s="50"/>
      <c r="Q41" s="50"/>
    </row>
    <row r="42" spans="1:17" ht="15.75">
      <c r="A42" s="232"/>
      <c r="B42" s="30" t="s">
        <v>154</v>
      </c>
      <c r="C42" s="7"/>
      <c r="D42" s="7"/>
      <c r="E42" s="239"/>
      <c r="F42" s="243"/>
      <c r="G42" s="241"/>
      <c r="H42" s="242"/>
      <c r="I42" s="157"/>
      <c r="J42" s="157"/>
      <c r="K42" s="5"/>
      <c r="L42" s="50"/>
      <c r="M42" s="50"/>
      <c r="N42" s="50"/>
      <c r="O42" s="50"/>
      <c r="P42" s="50"/>
      <c r="Q42" s="50"/>
    </row>
    <row r="43" spans="1:17" ht="15.75">
      <c r="A43" s="232"/>
      <c r="B43" s="6" t="s">
        <v>137</v>
      </c>
      <c r="C43" s="7"/>
      <c r="D43" s="7"/>
      <c r="E43" s="140" t="s">
        <v>42</v>
      </c>
      <c r="F43" s="205">
        <f>(10808+540)/4500</f>
        <v>2.521777777777778</v>
      </c>
      <c r="G43" s="133">
        <v>1</v>
      </c>
      <c r="H43" s="141">
        <v>1</v>
      </c>
      <c r="I43" s="152">
        <f>F43*G43*H43*$G$6</f>
        <v>1260.888888888889</v>
      </c>
      <c r="J43" s="152">
        <f>F43*G43*(1-H43)*$G$6</f>
        <v>0</v>
      </c>
      <c r="K43" s="5"/>
      <c r="L43" s="50"/>
      <c r="M43" s="50"/>
      <c r="N43" s="50"/>
      <c r="O43" s="50"/>
      <c r="P43" s="50"/>
      <c r="Q43" s="50"/>
    </row>
    <row r="44" spans="1:17" ht="15.75">
      <c r="A44" s="232"/>
      <c r="B44" s="6" t="s">
        <v>138</v>
      </c>
      <c r="C44" s="7"/>
      <c r="D44" s="7"/>
      <c r="E44" s="140" t="s">
        <v>41</v>
      </c>
      <c r="F44" s="205">
        <f>14800/4500</f>
        <v>3.2888888888888888</v>
      </c>
      <c r="G44" s="133">
        <v>1</v>
      </c>
      <c r="H44" s="141">
        <v>1</v>
      </c>
      <c r="I44" s="152">
        <f>F44*G44*H44*$G$6</f>
        <v>1644.4444444444443</v>
      </c>
      <c r="J44" s="152">
        <f>F44*G44*(1-H44)*$G$6</f>
        <v>0</v>
      </c>
      <c r="K44" s="5"/>
      <c r="L44" s="50"/>
      <c r="M44" s="50"/>
      <c r="N44" s="50"/>
      <c r="O44" s="50"/>
      <c r="P44" s="50"/>
      <c r="Q44" s="50"/>
    </row>
    <row r="45" spans="1:17" ht="15.75">
      <c r="A45" s="232"/>
      <c r="B45" s="6" t="s">
        <v>166</v>
      </c>
      <c r="C45" s="7"/>
      <c r="D45" s="7"/>
      <c r="E45" s="140" t="s">
        <v>41</v>
      </c>
      <c r="F45" s="205"/>
      <c r="G45" s="133">
        <v>1</v>
      </c>
      <c r="H45" s="141">
        <v>1</v>
      </c>
      <c r="I45" s="152">
        <f>F45*G45*H45*$G$6</f>
        <v>0</v>
      </c>
      <c r="J45" s="152">
        <f>F45*G45*(1-H45)*$G$6</f>
        <v>0</v>
      </c>
      <c r="K45" s="5"/>
      <c r="L45" s="50"/>
      <c r="M45" s="50"/>
      <c r="N45" s="50"/>
      <c r="O45" s="50"/>
      <c r="P45" s="50"/>
      <c r="Q45" s="50"/>
    </row>
    <row r="46" spans="1:17" ht="15.75">
      <c r="A46" s="232"/>
      <c r="B46" s="30" t="s">
        <v>155</v>
      </c>
      <c r="C46" s="7"/>
      <c r="D46" s="7"/>
      <c r="E46" s="239"/>
      <c r="F46" s="240"/>
      <c r="G46" s="241"/>
      <c r="H46" s="242"/>
      <c r="I46" s="157"/>
      <c r="J46" s="157"/>
      <c r="K46" s="5"/>
      <c r="L46" s="50"/>
      <c r="M46" s="50"/>
      <c r="N46" s="50"/>
      <c r="O46" s="50"/>
      <c r="P46" s="50"/>
      <c r="Q46" s="50"/>
    </row>
    <row r="47" spans="1:17" ht="15.75">
      <c r="A47" s="232"/>
      <c r="B47" s="6" t="s">
        <v>137</v>
      </c>
      <c r="C47" s="7"/>
      <c r="D47" s="7"/>
      <c r="E47" s="140" t="s">
        <v>42</v>
      </c>
      <c r="F47" s="205">
        <f>(8077+9387+337+469)/4500</f>
        <v>4.06</v>
      </c>
      <c r="G47" s="133">
        <v>1</v>
      </c>
      <c r="H47" s="141">
        <v>1</v>
      </c>
      <c r="I47" s="152">
        <f>F47*G47*H47*$G$6</f>
        <v>2029.9999999999998</v>
      </c>
      <c r="J47" s="152">
        <f>F47*G47*(1-H47)*$G$6</f>
        <v>0</v>
      </c>
      <c r="K47" s="5"/>
      <c r="L47" s="50"/>
      <c r="M47" s="50"/>
      <c r="N47" s="50"/>
      <c r="O47" s="50"/>
      <c r="P47" s="50"/>
      <c r="Q47" s="50"/>
    </row>
    <row r="48" spans="1:17" ht="15.75">
      <c r="A48" s="232"/>
      <c r="B48" s="6" t="s">
        <v>138</v>
      </c>
      <c r="C48" s="7"/>
      <c r="D48" s="7"/>
      <c r="E48" s="140" t="s">
        <v>41</v>
      </c>
      <c r="F48" s="205">
        <f>(1750+1426)/4500</f>
        <v>0.7057777777777777</v>
      </c>
      <c r="G48" s="133">
        <v>1</v>
      </c>
      <c r="H48" s="141">
        <v>1</v>
      </c>
      <c r="I48" s="152">
        <f>F48*G48*H48*$G$6</f>
        <v>352.88888888888886</v>
      </c>
      <c r="J48" s="152">
        <f>F48*G48*(1-H48)*$G$6</f>
        <v>0</v>
      </c>
      <c r="K48" s="5"/>
      <c r="L48" s="50"/>
      <c r="M48" s="50"/>
      <c r="N48" s="50"/>
      <c r="O48" s="50"/>
      <c r="P48" s="50"/>
      <c r="Q48" s="50"/>
    </row>
    <row r="49" spans="1:17" ht="15.75">
      <c r="A49" s="232"/>
      <c r="B49" s="6" t="s">
        <v>167</v>
      </c>
      <c r="C49" s="7"/>
      <c r="D49" s="7"/>
      <c r="E49" s="140" t="s">
        <v>41</v>
      </c>
      <c r="F49" s="205"/>
      <c r="G49" s="133">
        <v>1</v>
      </c>
      <c r="H49" s="141">
        <v>1</v>
      </c>
      <c r="I49" s="152">
        <f>F49*G49*H49*$G$6</f>
        <v>0</v>
      </c>
      <c r="J49" s="152">
        <f>F49*G49*(1-H49)*$G$6</f>
        <v>0</v>
      </c>
      <c r="K49" s="5"/>
      <c r="L49" s="50"/>
      <c r="M49" s="50"/>
      <c r="N49" s="50"/>
      <c r="O49" s="50"/>
      <c r="P49" s="50"/>
      <c r="Q49" s="50"/>
    </row>
    <row r="50" spans="1:17" ht="15.75">
      <c r="A50" s="232"/>
      <c r="B50" s="30" t="s">
        <v>156</v>
      </c>
      <c r="C50" s="7"/>
      <c r="D50" s="7"/>
      <c r="E50" s="140" t="s">
        <v>46</v>
      </c>
      <c r="F50" s="160"/>
      <c r="G50" s="160"/>
      <c r="H50" s="160"/>
      <c r="I50" s="153">
        <f>SUM(I43:I49)*'Revenue&amp;FixedCosts'!$D$17/12*$F$51</f>
        <v>30.847962962962963</v>
      </c>
      <c r="J50" s="153">
        <f>SUM(J42:J48)*'Revenue&amp;FixedCosts'!$D$17/12*$F$51</f>
        <v>0</v>
      </c>
      <c r="K50" s="5"/>
      <c r="L50" s="50"/>
      <c r="M50" s="50"/>
      <c r="N50" s="50"/>
      <c r="O50" s="50"/>
      <c r="P50" s="50"/>
      <c r="Q50" s="50"/>
    </row>
    <row r="51" spans="1:17" ht="15.75">
      <c r="A51" s="232"/>
      <c r="B51" s="139" t="s">
        <v>157</v>
      </c>
      <c r="C51" s="7"/>
      <c r="D51" s="7"/>
      <c r="E51" s="160"/>
      <c r="F51" s="133">
        <v>1</v>
      </c>
      <c r="G51" s="160"/>
      <c r="H51" s="162"/>
      <c r="I51" s="162"/>
      <c r="J51" s="163"/>
      <c r="K51" s="5"/>
      <c r="L51" s="50"/>
      <c r="M51" s="50"/>
      <c r="N51" s="50"/>
      <c r="O51" s="50"/>
      <c r="P51" s="50"/>
      <c r="Q51" s="50"/>
    </row>
    <row r="52" spans="1:17" ht="15.75">
      <c r="A52" s="232"/>
      <c r="B52" s="244"/>
      <c r="C52" s="137" t="s">
        <v>118</v>
      </c>
      <c r="D52" s="138" t="str">
        <f>$G$3</f>
        <v>Durum</v>
      </c>
      <c r="E52" s="138" t="s">
        <v>23</v>
      </c>
      <c r="F52" s="138"/>
      <c r="G52" s="138"/>
      <c r="H52" s="244"/>
      <c r="I52" s="198">
        <f>SUM(I12:I50)</f>
        <v>54768.02418518519</v>
      </c>
      <c r="J52" s="198">
        <f>SUM(J12:J50)</f>
        <v>6772.626</v>
      </c>
      <c r="K52" s="5"/>
      <c r="L52" s="50"/>
      <c r="M52" s="50"/>
      <c r="N52" s="50"/>
      <c r="O52" s="50"/>
      <c r="P52" s="50"/>
      <c r="Q52" s="50"/>
    </row>
    <row r="53" spans="1:17" ht="15.75">
      <c r="A53" s="232"/>
      <c r="B53" s="7"/>
      <c r="C53" s="7"/>
      <c r="D53" s="7"/>
      <c r="E53" s="7"/>
      <c r="F53" s="7"/>
      <c r="G53" s="7"/>
      <c r="H53" s="194" t="s">
        <v>179</v>
      </c>
      <c r="I53" s="195">
        <f>IF(G6=0,0,I52/G6)</f>
        <v>109.53604837037038</v>
      </c>
      <c r="J53" s="197">
        <f>IF(G6=0,0,J52/G6)</f>
        <v>13.545252</v>
      </c>
      <c r="K53" s="1"/>
      <c r="L53" s="50"/>
      <c r="M53" s="50"/>
      <c r="N53" s="50"/>
      <c r="O53" s="50"/>
      <c r="P53" s="50"/>
      <c r="Q53" s="50"/>
    </row>
    <row r="54" spans="1:17" ht="15.75">
      <c r="A54" s="232"/>
      <c r="B54" s="7"/>
      <c r="C54" s="7"/>
      <c r="D54" s="7"/>
      <c r="E54" s="7"/>
      <c r="F54" s="7"/>
      <c r="G54" s="7"/>
      <c r="H54" s="7"/>
      <c r="I54" s="196" t="s">
        <v>178</v>
      </c>
      <c r="J54" s="195">
        <f>I53+J53</f>
        <v>123.08130037037039</v>
      </c>
      <c r="K54" s="1"/>
      <c r="L54" s="50"/>
      <c r="M54" s="50"/>
      <c r="N54" s="50"/>
      <c r="O54" s="50"/>
      <c r="P54" s="50"/>
      <c r="Q54" s="50"/>
    </row>
    <row r="55" spans="1:17" ht="15.75">
      <c r="A55" s="232"/>
      <c r="B55" s="7"/>
      <c r="C55" s="7"/>
      <c r="D55" s="7"/>
      <c r="E55" s="7"/>
      <c r="F55" s="7"/>
      <c r="G55" s="7"/>
      <c r="H55" s="7"/>
      <c r="I55" s="253" t="s">
        <v>198</v>
      </c>
      <c r="J55" s="195">
        <f>IF(G5=0,"NA",J54/G5)</f>
        <v>5.594604562289563</v>
      </c>
      <c r="K55" s="1"/>
      <c r="L55" s="50"/>
      <c r="M55" s="50"/>
      <c r="N55" s="50"/>
      <c r="O55" s="50"/>
      <c r="P55" s="50"/>
      <c r="Q55" s="50"/>
    </row>
    <row r="56" spans="1:17" ht="15.75">
      <c r="A56" s="232"/>
      <c r="B56" s="50"/>
      <c r="C56" s="50"/>
      <c r="D56" s="50"/>
      <c r="E56" s="50"/>
      <c r="F56" s="50"/>
      <c r="G56" s="50"/>
      <c r="H56" s="50"/>
      <c r="I56" s="196" t="s">
        <v>227</v>
      </c>
      <c r="J56" s="286">
        <f>G6*J54</f>
        <v>61540.65018518519</v>
      </c>
      <c r="K56" s="50"/>
      <c r="L56" s="50"/>
      <c r="M56" s="50"/>
      <c r="N56" s="50"/>
      <c r="O56" s="50"/>
      <c r="P56" s="50"/>
      <c r="Q56" s="50"/>
    </row>
    <row r="57" spans="1:17" ht="15.75">
      <c r="A57" s="232"/>
      <c r="B57" s="50"/>
      <c r="C57" s="50"/>
      <c r="D57" s="50"/>
      <c r="E57" s="50"/>
      <c r="F57" s="50"/>
      <c r="G57" s="50"/>
      <c r="H57" s="50"/>
      <c r="I57" s="50"/>
      <c r="J57" s="50"/>
      <c r="K57" s="50"/>
      <c r="L57" s="50"/>
      <c r="M57" s="50"/>
      <c r="N57" s="50"/>
      <c r="O57" s="50"/>
      <c r="P57" s="50"/>
      <c r="Q57" s="50"/>
    </row>
    <row r="58" spans="1:17" ht="15.75">
      <c r="A58" s="232"/>
      <c r="B58" s="50"/>
      <c r="C58" s="50"/>
      <c r="D58" s="50"/>
      <c r="E58" s="50"/>
      <c r="F58" s="50"/>
      <c r="G58" s="50"/>
      <c r="H58" s="50"/>
      <c r="I58" s="50"/>
      <c r="J58" s="50"/>
      <c r="K58" s="50"/>
      <c r="L58" s="50"/>
      <c r="M58" s="50"/>
      <c r="N58" s="50"/>
      <c r="O58" s="50"/>
      <c r="P58" s="50"/>
      <c r="Q58" s="50"/>
    </row>
    <row r="59" spans="1:17" ht="15.75">
      <c r="A59" s="232"/>
      <c r="B59" s="50"/>
      <c r="C59" s="50"/>
      <c r="D59" s="50"/>
      <c r="E59" s="50"/>
      <c r="F59" s="50"/>
      <c r="G59" s="50"/>
      <c r="H59" s="50"/>
      <c r="I59" s="50"/>
      <c r="J59" s="50"/>
      <c r="K59" s="50"/>
      <c r="L59" s="50"/>
      <c r="M59" s="50"/>
      <c r="N59" s="50"/>
      <c r="O59" s="50"/>
      <c r="P59" s="50"/>
      <c r="Q59" s="50"/>
    </row>
    <row r="60" spans="1:17" ht="15.75">
      <c r="A60" s="232"/>
      <c r="B60" s="50"/>
      <c r="C60" s="50"/>
      <c r="D60" s="50"/>
      <c r="E60" s="50"/>
      <c r="F60" s="50"/>
      <c r="G60" s="50"/>
      <c r="H60" s="50"/>
      <c r="I60" s="50"/>
      <c r="J60" s="50"/>
      <c r="K60" s="50"/>
      <c r="L60" s="50"/>
      <c r="M60" s="50"/>
      <c r="N60" s="50"/>
      <c r="O60" s="50"/>
      <c r="P60" s="50"/>
      <c r="Q60" s="50"/>
    </row>
    <row r="61" spans="1:17" ht="15.75">
      <c r="A61" s="232"/>
      <c r="B61" s="50"/>
      <c r="C61" s="50"/>
      <c r="D61" s="50"/>
      <c r="E61" s="50"/>
      <c r="F61" s="50"/>
      <c r="G61" s="50"/>
      <c r="H61" s="50"/>
      <c r="I61" s="50"/>
      <c r="J61" s="50"/>
      <c r="K61" s="50"/>
      <c r="L61" s="50"/>
      <c r="M61" s="50"/>
      <c r="N61" s="50"/>
      <c r="O61" s="50"/>
      <c r="P61" s="50"/>
      <c r="Q61" s="50"/>
    </row>
    <row r="62" spans="1:17" ht="15.75">
      <c r="A62" s="232"/>
      <c r="B62" s="50"/>
      <c r="C62" s="50"/>
      <c r="D62" s="50"/>
      <c r="E62" s="50"/>
      <c r="F62" s="50"/>
      <c r="G62" s="50"/>
      <c r="H62" s="50"/>
      <c r="I62" s="50"/>
      <c r="J62" s="50"/>
      <c r="K62" s="50"/>
      <c r="L62" s="50"/>
      <c r="M62" s="50"/>
      <c r="N62" s="50"/>
      <c r="O62" s="50"/>
      <c r="P62" s="50"/>
      <c r="Q62" s="50"/>
    </row>
    <row r="63" spans="1:17" ht="15.75">
      <c r="A63" s="232"/>
      <c r="B63" s="50"/>
      <c r="C63" s="50"/>
      <c r="D63" s="50"/>
      <c r="E63" s="50"/>
      <c r="F63" s="50"/>
      <c r="G63" s="50"/>
      <c r="H63" s="50"/>
      <c r="I63" s="50"/>
      <c r="J63" s="50"/>
      <c r="K63" s="50"/>
      <c r="L63" s="50"/>
      <c r="M63" s="50"/>
      <c r="N63" s="50"/>
      <c r="O63" s="50"/>
      <c r="P63" s="50"/>
      <c r="Q63" s="50"/>
    </row>
  </sheetData>
  <sheetProtection sheet="1" formatCells="0" formatColumns="0" formatRows="0"/>
  <mergeCells count="6">
    <mergeCell ref="I3:I4"/>
    <mergeCell ref="J3:J4"/>
    <mergeCell ref="E3:E4"/>
    <mergeCell ref="F3:F4"/>
    <mergeCell ref="G3:G4"/>
    <mergeCell ref="H3:H4"/>
  </mergeCells>
  <printOptions/>
  <pageMargins left="0.75" right="0.75" top="1" bottom="1" header="0.5" footer="0.5"/>
  <pageSetup fitToHeight="1" fitToWidth="1" horizontalDpi="300" verticalDpi="300" orientation="portrait" scale="47"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S59"/>
  <sheetViews>
    <sheetView showGridLines="0" zoomScalePageLayoutView="0" workbookViewId="0" topLeftCell="A1">
      <selection activeCell="A1" sqref="A1"/>
    </sheetView>
  </sheetViews>
  <sheetFormatPr defaultColWidth="8.796875" defaultRowHeight="15"/>
  <cols>
    <col min="1" max="1" width="4.09765625" style="120" customWidth="1"/>
    <col min="2" max="4" width="12.69921875" style="0" customWidth="1"/>
    <col min="5" max="10" width="11.69921875" style="0" customWidth="1"/>
  </cols>
  <sheetData>
    <row r="1" spans="1:19" ht="15.75">
      <c r="A1" s="232"/>
      <c r="B1" s="50"/>
      <c r="C1" s="50"/>
      <c r="D1" s="50"/>
      <c r="E1" s="50"/>
      <c r="F1" s="50"/>
      <c r="G1" s="50"/>
      <c r="H1" s="50"/>
      <c r="I1" s="50"/>
      <c r="J1" s="50"/>
      <c r="K1" s="50"/>
      <c r="L1" s="50"/>
      <c r="M1" s="50"/>
      <c r="N1" s="50"/>
      <c r="O1" s="50"/>
      <c r="P1" s="50"/>
      <c r="Q1" s="50"/>
      <c r="R1" s="50"/>
      <c r="S1" s="50"/>
    </row>
    <row r="2" spans="1:19" ht="16.5" thickBot="1">
      <c r="A2" s="232"/>
      <c r="B2" s="50"/>
      <c r="C2" s="50"/>
      <c r="D2" s="50"/>
      <c r="E2" s="208" t="str">
        <f>'Revenue&amp;FixedCosts'!C8</f>
        <v>Crop#1</v>
      </c>
      <c r="F2" s="208" t="str">
        <f>'Revenue&amp;FixedCosts'!D8</f>
        <v>Crop#2</v>
      </c>
      <c r="G2" s="208" t="str">
        <f>'Revenue&amp;FixedCosts'!E8</f>
        <v>Crop#3</v>
      </c>
      <c r="H2" s="258" t="str">
        <f>'Revenue&amp;FixedCosts'!F8</f>
        <v>Crop#4</v>
      </c>
      <c r="I2" s="208" t="str">
        <f>'Revenue&amp;FixedCosts'!G8</f>
        <v>Crop#5</v>
      </c>
      <c r="J2" s="208" t="str">
        <f>'Revenue&amp;FixedCosts'!H8</f>
        <v>Crop#6</v>
      </c>
      <c r="K2" s="50"/>
      <c r="L2" s="50"/>
      <c r="M2" s="50"/>
      <c r="N2" s="50"/>
      <c r="O2" s="50"/>
      <c r="P2" s="50"/>
      <c r="Q2" s="50"/>
      <c r="R2" s="50"/>
      <c r="S2" s="50"/>
    </row>
    <row r="3" spans="1:19" ht="15.75">
      <c r="A3" s="232"/>
      <c r="B3" s="50"/>
      <c r="C3" s="50"/>
      <c r="D3" s="50"/>
      <c r="E3" s="290" t="str">
        <f>'Revenue&amp;FixedCosts'!C9</f>
        <v>Winter Wheat</v>
      </c>
      <c r="F3" s="290" t="str">
        <f>'Revenue&amp;FixedCosts'!D9</f>
        <v>Spring Wheat</v>
      </c>
      <c r="G3" s="290" t="str">
        <f>'Revenue&amp;FixedCosts'!E9</f>
        <v>Durum</v>
      </c>
      <c r="H3" s="292" t="str">
        <f>'Revenue&amp;FixedCosts'!F9</f>
        <v>Malt Barley</v>
      </c>
      <c r="I3" s="290" t="str">
        <f>'Revenue&amp;FixedCosts'!G9</f>
        <v>Summer Fallow</v>
      </c>
      <c r="J3" s="290" t="str">
        <f>'Revenue&amp;FixedCosts'!H9</f>
        <v>Not Used</v>
      </c>
      <c r="K3" s="50"/>
      <c r="L3" s="50"/>
      <c r="M3" s="50"/>
      <c r="N3" s="50"/>
      <c r="O3" s="50"/>
      <c r="P3" s="50"/>
      <c r="Q3" s="50"/>
      <c r="R3" s="50"/>
      <c r="S3" s="50"/>
    </row>
    <row r="4" spans="1:19" ht="15.75">
      <c r="A4" s="232"/>
      <c r="B4" s="50"/>
      <c r="C4" s="50"/>
      <c r="D4" s="50"/>
      <c r="E4" s="291"/>
      <c r="F4" s="291"/>
      <c r="G4" s="291"/>
      <c r="H4" s="293"/>
      <c r="I4" s="291"/>
      <c r="J4" s="291"/>
      <c r="K4" s="50"/>
      <c r="L4" s="50"/>
      <c r="M4" s="50"/>
      <c r="N4" s="50"/>
      <c r="O4" s="50"/>
      <c r="P4" s="50"/>
      <c r="Q4" s="50"/>
      <c r="R4" s="50"/>
      <c r="S4" s="50"/>
    </row>
    <row r="5" spans="1:19" ht="15.75">
      <c r="A5" s="232"/>
      <c r="B5" s="50"/>
      <c r="C5" s="50"/>
      <c r="D5" s="50" t="str">
        <f>'Revenue&amp;FixedCosts'!B12</f>
        <v>Expected Yield</v>
      </c>
      <c r="E5" s="209">
        <f>'Revenue&amp;FixedCosts'!C12</f>
        <v>42</v>
      </c>
      <c r="F5" s="209">
        <f>'Revenue&amp;FixedCosts'!D12</f>
        <v>28</v>
      </c>
      <c r="G5" s="209">
        <f>'Revenue&amp;FixedCosts'!E12</f>
        <v>22</v>
      </c>
      <c r="H5" s="259">
        <f>'Revenue&amp;FixedCosts'!F12</f>
        <v>52</v>
      </c>
      <c r="I5" s="209">
        <f>'Revenue&amp;FixedCosts'!G12</f>
        <v>0</v>
      </c>
      <c r="J5" s="209">
        <f>'Revenue&amp;FixedCosts'!H12</f>
        <v>0</v>
      </c>
      <c r="K5" s="50"/>
      <c r="L5" s="50"/>
      <c r="M5" s="50"/>
      <c r="N5" s="50"/>
      <c r="O5" s="50"/>
      <c r="P5" s="50"/>
      <c r="Q5" s="50"/>
      <c r="R5" s="50"/>
      <c r="S5" s="50"/>
    </row>
    <row r="6" spans="1:19" ht="15.75">
      <c r="A6" s="232"/>
      <c r="B6" s="7" t="s">
        <v>122</v>
      </c>
      <c r="C6" s="7"/>
      <c r="D6" s="50" t="s">
        <v>199</v>
      </c>
      <c r="E6" s="209">
        <f>'Revenue&amp;FixedCosts'!C11</f>
        <v>400</v>
      </c>
      <c r="F6" s="209">
        <f>'Revenue&amp;FixedCosts'!D11</f>
        <v>750</v>
      </c>
      <c r="G6" s="209">
        <f>'Revenue&amp;FixedCosts'!E11</f>
        <v>500</v>
      </c>
      <c r="H6" s="260">
        <f>'Revenue&amp;FixedCosts'!$F$11</f>
        <v>300</v>
      </c>
      <c r="I6" s="209">
        <f>'Revenue&amp;FixedCosts'!G11</f>
        <v>550</v>
      </c>
      <c r="J6" s="209">
        <f>'Revenue&amp;FixedCosts'!H11</f>
        <v>0</v>
      </c>
      <c r="K6" s="1"/>
      <c r="L6" s="50"/>
      <c r="M6" s="50"/>
      <c r="N6" s="50"/>
      <c r="O6" s="50"/>
      <c r="P6" s="50"/>
      <c r="Q6" s="50"/>
      <c r="R6" s="50"/>
      <c r="S6" s="50"/>
    </row>
    <row r="7" spans="1:19" ht="18.75">
      <c r="A7" s="232"/>
      <c r="B7" s="41" t="str">
        <f>'Revenue&amp;FixedCosts'!$F$9</f>
        <v>Malt Barley</v>
      </c>
      <c r="C7" s="50"/>
      <c r="E7" s="18" t="s">
        <v>48</v>
      </c>
      <c r="F7" s="10"/>
      <c r="G7" s="10"/>
      <c r="H7" s="10"/>
      <c r="I7" s="10"/>
      <c r="J7" s="10"/>
      <c r="K7" s="5"/>
      <c r="L7" s="50"/>
      <c r="M7" s="50"/>
      <c r="N7" s="50"/>
      <c r="O7" s="50"/>
      <c r="P7" s="50"/>
      <c r="Q7" s="50"/>
      <c r="R7" s="50"/>
      <c r="S7" s="50"/>
    </row>
    <row r="8" spans="1:19" ht="15" customHeight="1">
      <c r="A8" s="232"/>
      <c r="B8" s="10"/>
      <c r="C8" s="10"/>
      <c r="D8" s="10"/>
      <c r="E8" s="11"/>
      <c r="F8" s="14" t="s">
        <v>35</v>
      </c>
      <c r="G8" s="15" t="s">
        <v>36</v>
      </c>
      <c r="H8" s="15" t="s">
        <v>2</v>
      </c>
      <c r="I8" s="15" t="s">
        <v>3</v>
      </c>
      <c r="J8" s="15" t="s">
        <v>3</v>
      </c>
      <c r="K8" s="5"/>
      <c r="L8" s="50"/>
      <c r="M8" s="50"/>
      <c r="N8" s="50"/>
      <c r="O8" s="50"/>
      <c r="P8" s="50"/>
      <c r="Q8" s="50"/>
      <c r="R8" s="50"/>
      <c r="S8" s="50"/>
    </row>
    <row r="9" spans="1:19" ht="15" customHeight="1">
      <c r="A9" s="232"/>
      <c r="B9" s="7"/>
      <c r="C9" s="7"/>
      <c r="D9" s="7"/>
      <c r="E9" s="12"/>
      <c r="F9" s="13" t="s">
        <v>37</v>
      </c>
      <c r="G9" s="9" t="s">
        <v>37</v>
      </c>
      <c r="H9" s="9" t="s">
        <v>7</v>
      </c>
      <c r="I9" s="265" t="s">
        <v>7</v>
      </c>
      <c r="J9" s="266" t="s">
        <v>6</v>
      </c>
      <c r="K9" s="5"/>
      <c r="L9" s="50"/>
      <c r="M9" s="50"/>
      <c r="N9" s="50"/>
      <c r="O9" s="50"/>
      <c r="P9" s="50"/>
      <c r="Q9" s="50"/>
      <c r="R9" s="50"/>
      <c r="S9" s="50"/>
    </row>
    <row r="10" spans="1:19" ht="15" customHeight="1">
      <c r="A10" s="232"/>
      <c r="B10" s="41" t="s">
        <v>159</v>
      </c>
      <c r="C10" s="7"/>
      <c r="D10" s="7"/>
      <c r="E10" s="19" t="s">
        <v>38</v>
      </c>
      <c r="F10" s="13" t="s">
        <v>39</v>
      </c>
      <c r="G10" s="9" t="s">
        <v>39</v>
      </c>
      <c r="H10" s="9" t="s">
        <v>9</v>
      </c>
      <c r="I10" s="9" t="s">
        <v>9</v>
      </c>
      <c r="J10" s="9" t="s">
        <v>9</v>
      </c>
      <c r="K10" s="5"/>
      <c r="L10" s="50"/>
      <c r="M10" s="50"/>
      <c r="N10" s="50"/>
      <c r="O10" s="50"/>
      <c r="P10" s="50"/>
      <c r="Q10" s="50"/>
      <c r="R10" s="50"/>
      <c r="S10" s="50"/>
    </row>
    <row r="11" spans="1:19" ht="15.75">
      <c r="A11" s="232"/>
      <c r="B11" s="10"/>
      <c r="C11" s="10"/>
      <c r="D11" s="10"/>
      <c r="E11" s="158"/>
      <c r="F11" s="158"/>
      <c r="G11" s="158"/>
      <c r="H11" s="158"/>
      <c r="I11" s="158"/>
      <c r="J11" s="158"/>
      <c r="K11" s="5"/>
      <c r="L11" s="50"/>
      <c r="M11" s="50"/>
      <c r="N11" s="50"/>
      <c r="O11" s="50"/>
      <c r="P11" s="50"/>
      <c r="Q11" s="50"/>
      <c r="R11" s="50"/>
      <c r="S11" s="50"/>
    </row>
    <row r="12" spans="1:19" ht="15.75">
      <c r="A12" s="232"/>
      <c r="B12" s="30" t="s">
        <v>139</v>
      </c>
      <c r="C12" s="7"/>
      <c r="D12" s="7"/>
      <c r="E12" s="140" t="s">
        <v>40</v>
      </c>
      <c r="F12" s="205">
        <v>10</v>
      </c>
      <c r="G12" s="133">
        <v>1</v>
      </c>
      <c r="H12" s="141">
        <v>1</v>
      </c>
      <c r="I12" s="152">
        <f aca="true" t="shared" si="0" ref="I12:I21">F12*G12*H12*$H$6</f>
        <v>3000</v>
      </c>
      <c r="J12" s="152">
        <f aca="true" t="shared" si="1" ref="J12:J21">F12*G12*(1-H12)*$H$6</f>
        <v>0</v>
      </c>
      <c r="K12" s="5"/>
      <c r="L12" s="50"/>
      <c r="M12" s="50"/>
      <c r="N12" s="50"/>
      <c r="O12" s="50"/>
      <c r="P12" s="50"/>
      <c r="Q12" s="50"/>
      <c r="R12" s="50"/>
      <c r="S12" s="50"/>
    </row>
    <row r="13" spans="1:19" ht="15.75">
      <c r="A13" s="232"/>
      <c r="B13" s="30" t="s">
        <v>140</v>
      </c>
      <c r="C13" s="21"/>
      <c r="D13" s="233"/>
      <c r="E13" s="140" t="s">
        <v>41</v>
      </c>
      <c r="F13" s="205">
        <v>11</v>
      </c>
      <c r="G13" s="133">
        <v>1</v>
      </c>
      <c r="H13" s="141">
        <v>1</v>
      </c>
      <c r="I13" s="152">
        <f t="shared" si="0"/>
        <v>3300</v>
      </c>
      <c r="J13" s="152">
        <f t="shared" si="1"/>
        <v>0</v>
      </c>
      <c r="K13" s="5"/>
      <c r="L13" s="50"/>
      <c r="M13" s="50"/>
      <c r="N13" s="50"/>
      <c r="O13" s="50"/>
      <c r="P13" s="50"/>
      <c r="Q13" s="50"/>
      <c r="R13" s="50"/>
      <c r="S13" s="50"/>
    </row>
    <row r="14" spans="1:19" ht="15.75">
      <c r="A14" s="232"/>
      <c r="B14" s="202"/>
      <c r="C14" s="203"/>
      <c r="D14" s="8"/>
      <c r="E14" s="140" t="s">
        <v>41</v>
      </c>
      <c r="F14" s="205">
        <v>0</v>
      </c>
      <c r="G14" s="133">
        <v>1</v>
      </c>
      <c r="H14" s="141">
        <v>1</v>
      </c>
      <c r="I14" s="152">
        <f t="shared" si="0"/>
        <v>0</v>
      </c>
      <c r="J14" s="152">
        <f t="shared" si="1"/>
        <v>0</v>
      </c>
      <c r="K14" s="5"/>
      <c r="L14" s="50"/>
      <c r="M14" s="50"/>
      <c r="N14" s="50"/>
      <c r="O14" s="50"/>
      <c r="P14" s="50"/>
      <c r="Q14" s="50"/>
      <c r="R14" s="50"/>
      <c r="S14" s="50"/>
    </row>
    <row r="15" spans="1:19" ht="15.75">
      <c r="A15" s="232"/>
      <c r="B15" s="202"/>
      <c r="C15" s="203"/>
      <c r="D15" s="8"/>
      <c r="E15" s="140" t="s">
        <v>41</v>
      </c>
      <c r="F15" s="205">
        <v>0</v>
      </c>
      <c r="G15" s="133">
        <v>1</v>
      </c>
      <c r="H15" s="141">
        <v>1</v>
      </c>
      <c r="I15" s="152">
        <f t="shared" si="0"/>
        <v>0</v>
      </c>
      <c r="J15" s="152">
        <f t="shared" si="1"/>
        <v>0</v>
      </c>
      <c r="K15" s="5"/>
      <c r="L15" s="50"/>
      <c r="M15" s="164"/>
      <c r="N15" s="50"/>
      <c r="O15" s="50"/>
      <c r="P15" s="234" t="s">
        <v>184</v>
      </c>
      <c r="Q15" s="50"/>
      <c r="R15" s="50"/>
      <c r="S15" s="50"/>
    </row>
    <row r="16" spans="1:19" ht="15.75">
      <c r="A16" s="232"/>
      <c r="B16" s="30" t="s">
        <v>162</v>
      </c>
      <c r="C16" s="7"/>
      <c r="D16" s="21"/>
      <c r="E16" s="140" t="s">
        <v>42</v>
      </c>
      <c r="F16" s="205">
        <v>0</v>
      </c>
      <c r="G16" s="133">
        <v>1</v>
      </c>
      <c r="H16" s="141">
        <v>1</v>
      </c>
      <c r="I16" s="152">
        <f t="shared" si="0"/>
        <v>0</v>
      </c>
      <c r="J16" s="152">
        <f t="shared" si="1"/>
        <v>0</v>
      </c>
      <c r="K16" s="5"/>
      <c r="L16" s="50"/>
      <c r="M16" s="164"/>
      <c r="N16" s="50"/>
      <c r="O16" s="50"/>
      <c r="P16" s="235" t="s">
        <v>185</v>
      </c>
      <c r="Q16" s="50"/>
      <c r="R16" s="50"/>
      <c r="S16" s="50"/>
    </row>
    <row r="17" spans="1:19" ht="15.75">
      <c r="A17" s="232"/>
      <c r="B17" s="30" t="s">
        <v>141</v>
      </c>
      <c r="C17" s="21"/>
      <c r="D17" s="233"/>
      <c r="E17" s="140" t="s">
        <v>43</v>
      </c>
      <c r="F17" s="205">
        <v>0</v>
      </c>
      <c r="G17" s="133">
        <v>1</v>
      </c>
      <c r="H17" s="141">
        <v>0</v>
      </c>
      <c r="I17" s="152">
        <f t="shared" si="0"/>
        <v>0</v>
      </c>
      <c r="J17" s="152">
        <f t="shared" si="1"/>
        <v>0</v>
      </c>
      <c r="K17" s="5"/>
      <c r="L17" s="50"/>
      <c r="M17" s="164"/>
      <c r="N17" s="50"/>
      <c r="O17" s="50"/>
      <c r="P17" s="236" t="s">
        <v>186</v>
      </c>
      <c r="Q17" s="50"/>
      <c r="R17" s="50"/>
      <c r="S17" s="50"/>
    </row>
    <row r="18" spans="1:19" ht="15.75">
      <c r="A18" s="232"/>
      <c r="B18" s="202"/>
      <c r="C18" s="203" t="s">
        <v>176</v>
      </c>
      <c r="D18" s="20"/>
      <c r="E18" s="140" t="s">
        <v>174</v>
      </c>
      <c r="F18" s="205">
        <v>550</v>
      </c>
      <c r="G18" s="133">
        <v>0.024</v>
      </c>
      <c r="H18" s="141">
        <v>0.754</v>
      </c>
      <c r="I18" s="152">
        <f t="shared" si="0"/>
        <v>2985.8400000000006</v>
      </c>
      <c r="J18" s="152">
        <f t="shared" si="1"/>
        <v>974.1600000000001</v>
      </c>
      <c r="K18" s="5"/>
      <c r="L18" s="50"/>
      <c r="M18" s="164"/>
      <c r="N18" s="199" t="s">
        <v>176</v>
      </c>
      <c r="O18" s="251">
        <v>0.024038461538461543</v>
      </c>
      <c r="P18" s="237">
        <f>2000*O18</f>
        <v>48.07692307692309</v>
      </c>
      <c r="Q18" s="50"/>
      <c r="R18" s="50"/>
      <c r="S18" s="50"/>
    </row>
    <row r="19" spans="1:19" ht="15.75">
      <c r="A19" s="232"/>
      <c r="B19" s="202"/>
      <c r="C19" s="203" t="s">
        <v>175</v>
      </c>
      <c r="D19" s="8"/>
      <c r="E19" s="140" t="s">
        <v>197</v>
      </c>
      <c r="F19" s="205">
        <v>0.4</v>
      </c>
      <c r="G19" s="133">
        <v>55</v>
      </c>
      <c r="H19" s="141">
        <v>0.754</v>
      </c>
      <c r="I19" s="152">
        <f t="shared" si="0"/>
        <v>4976.400000000001</v>
      </c>
      <c r="J19" s="152">
        <f t="shared" si="1"/>
        <v>1623.6</v>
      </c>
      <c r="K19" s="5"/>
      <c r="L19" s="50"/>
      <c r="M19" s="164" t="s">
        <v>181</v>
      </c>
      <c r="N19" s="112">
        <f>2000*0.11</f>
        <v>220</v>
      </c>
      <c r="O19" s="238">
        <f>N19*$O$18</f>
        <v>5.288461538461539</v>
      </c>
      <c r="P19" s="50"/>
      <c r="Q19" s="50"/>
      <c r="R19" s="50"/>
      <c r="S19" s="50"/>
    </row>
    <row r="20" spans="1:19" ht="15.75">
      <c r="A20" s="232"/>
      <c r="B20" s="30" t="s">
        <v>163</v>
      </c>
      <c r="C20" s="7"/>
      <c r="D20" s="7"/>
      <c r="E20" s="140" t="s">
        <v>42</v>
      </c>
      <c r="F20" s="205">
        <v>4</v>
      </c>
      <c r="G20" s="133">
        <v>1</v>
      </c>
      <c r="H20" s="141">
        <v>1</v>
      </c>
      <c r="I20" s="152">
        <f t="shared" si="0"/>
        <v>1200</v>
      </c>
      <c r="J20" s="152">
        <f t="shared" si="1"/>
        <v>0</v>
      </c>
      <c r="K20" s="5"/>
      <c r="L20" s="50"/>
      <c r="M20" s="164" t="s">
        <v>182</v>
      </c>
      <c r="N20" s="112">
        <f>2000*0.52</f>
        <v>1040</v>
      </c>
      <c r="O20" s="238">
        <f>N20*$O$18</f>
        <v>25.000000000000004</v>
      </c>
      <c r="P20" s="50"/>
      <c r="Q20" s="50"/>
      <c r="R20" s="50"/>
      <c r="S20" s="50"/>
    </row>
    <row r="21" spans="1:19" ht="15.75">
      <c r="A21" s="232"/>
      <c r="B21" s="30" t="s">
        <v>142</v>
      </c>
      <c r="C21" s="7"/>
      <c r="D21" s="7"/>
      <c r="E21" s="140" t="s">
        <v>42</v>
      </c>
      <c r="F21" s="205">
        <v>0</v>
      </c>
      <c r="G21" s="133">
        <v>1</v>
      </c>
      <c r="H21" s="141">
        <v>1</v>
      </c>
      <c r="I21" s="152">
        <f t="shared" si="0"/>
        <v>0</v>
      </c>
      <c r="J21" s="152">
        <f t="shared" si="1"/>
        <v>0</v>
      </c>
      <c r="K21" s="5"/>
      <c r="L21" s="50"/>
      <c r="M21" s="201" t="s">
        <v>183</v>
      </c>
      <c r="N21" s="113">
        <f>2000-(N19+N20)</f>
        <v>740</v>
      </c>
      <c r="O21" s="238">
        <f>N21*$O$18</f>
        <v>17.788461538461544</v>
      </c>
      <c r="P21" s="50"/>
      <c r="Q21" s="50"/>
      <c r="R21" s="50"/>
      <c r="S21" s="50"/>
    </row>
    <row r="22" spans="1:19" ht="15.75">
      <c r="A22" s="232"/>
      <c r="B22" s="30" t="s">
        <v>177</v>
      </c>
      <c r="C22" s="7"/>
      <c r="D22" s="7"/>
      <c r="E22" s="239"/>
      <c r="F22" s="240"/>
      <c r="G22" s="241"/>
      <c r="H22" s="242"/>
      <c r="I22" s="157"/>
      <c r="J22" s="157"/>
      <c r="K22" s="5"/>
      <c r="L22" s="50"/>
      <c r="M22" s="164" t="s">
        <v>187</v>
      </c>
      <c r="N22" s="112">
        <f>SUM(N19:N21)</f>
        <v>2000</v>
      </c>
      <c r="O22" s="50"/>
      <c r="P22" s="50"/>
      <c r="Q22" s="50"/>
      <c r="R22" s="50"/>
      <c r="S22" s="50"/>
    </row>
    <row r="23" spans="1:19" ht="15.75">
      <c r="A23" s="232"/>
      <c r="B23" s="6" t="s">
        <v>137</v>
      </c>
      <c r="C23" s="7"/>
      <c r="D23" s="7"/>
      <c r="E23" s="140" t="s">
        <v>41</v>
      </c>
      <c r="F23" s="205">
        <f>(7706+6652+2221+385+333+111)/4500</f>
        <v>3.8684444444444446</v>
      </c>
      <c r="G23" s="133">
        <v>1</v>
      </c>
      <c r="H23" s="141">
        <v>1</v>
      </c>
      <c r="I23" s="152">
        <f>F23*G23*H23*$H$6</f>
        <v>1160.5333333333333</v>
      </c>
      <c r="J23" s="152">
        <f>F23*G23*(1-H23)*$H$6</f>
        <v>0</v>
      </c>
      <c r="K23" s="5"/>
      <c r="L23" s="50"/>
      <c r="M23" s="164" t="s">
        <v>188</v>
      </c>
      <c r="N23" s="250">
        <v>1100</v>
      </c>
      <c r="O23" s="50"/>
      <c r="P23" s="50"/>
      <c r="Q23" s="50"/>
      <c r="R23" s="50"/>
      <c r="S23" s="50"/>
    </row>
    <row r="24" spans="1:19" ht="15.75">
      <c r="A24" s="232"/>
      <c r="B24" s="6" t="s">
        <v>138</v>
      </c>
      <c r="C24" s="7"/>
      <c r="D24" s="7"/>
      <c r="E24" s="140" t="s">
        <v>41</v>
      </c>
      <c r="F24" s="205">
        <f>(1168+1911+947+1425)/4500</f>
        <v>1.2113333333333334</v>
      </c>
      <c r="G24" s="133">
        <v>1</v>
      </c>
      <c r="H24" s="141">
        <v>1</v>
      </c>
      <c r="I24" s="152">
        <f>F24*G24*H24*$H$6</f>
        <v>363.40000000000003</v>
      </c>
      <c r="J24" s="152">
        <f>F24*G24*(1-H24)*$H$6</f>
        <v>0</v>
      </c>
      <c r="K24" s="5"/>
      <c r="L24" s="50"/>
      <c r="M24" s="50"/>
      <c r="N24" s="200">
        <f>N23/2000</f>
        <v>0.55</v>
      </c>
      <c r="O24" s="164" t="s">
        <v>189</v>
      </c>
      <c r="P24" s="50"/>
      <c r="Q24" s="50"/>
      <c r="R24" s="50"/>
      <c r="S24" s="50"/>
    </row>
    <row r="25" spans="1:19" ht="15.75">
      <c r="A25" s="232"/>
      <c r="B25" s="30" t="s">
        <v>143</v>
      </c>
      <c r="C25" s="7"/>
      <c r="D25" s="7"/>
      <c r="E25" s="239"/>
      <c r="F25" s="240"/>
      <c r="G25" s="241"/>
      <c r="H25" s="242"/>
      <c r="I25" s="157"/>
      <c r="J25" s="157"/>
      <c r="K25" s="5"/>
      <c r="L25" s="50"/>
      <c r="M25" s="164"/>
      <c r="N25" s="50"/>
      <c r="O25" s="50"/>
      <c r="P25" s="50"/>
      <c r="Q25" s="50"/>
      <c r="R25" s="50"/>
      <c r="S25" s="50"/>
    </row>
    <row r="26" spans="1:19" ht="15.75">
      <c r="A26" s="232"/>
      <c r="B26" s="6" t="s">
        <v>137</v>
      </c>
      <c r="C26" s="7"/>
      <c r="D26" s="7"/>
      <c r="E26" s="140" t="s">
        <v>41</v>
      </c>
      <c r="F26" s="205">
        <f>(2700+135+6738+2166+337+108)/4500</f>
        <v>2.7075555555555555</v>
      </c>
      <c r="G26" s="133">
        <v>1</v>
      </c>
      <c r="H26" s="141">
        <v>1</v>
      </c>
      <c r="I26" s="152">
        <f>F26*G26*H26*$H$6</f>
        <v>812.2666666666667</v>
      </c>
      <c r="J26" s="152">
        <f>F26*G26*(1-H26)*$H$6</f>
        <v>0</v>
      </c>
      <c r="K26" s="5"/>
      <c r="L26" s="50"/>
      <c r="M26" s="164"/>
      <c r="N26" s="50"/>
      <c r="O26" s="50"/>
      <c r="P26" s="50"/>
      <c r="Q26" s="50"/>
      <c r="R26" s="50"/>
      <c r="S26" s="50"/>
    </row>
    <row r="27" spans="1:19" ht="15.75">
      <c r="A27" s="232"/>
      <c r="B27" s="6" t="s">
        <v>138</v>
      </c>
      <c r="C27" s="7"/>
      <c r="D27" s="7"/>
      <c r="E27" s="140"/>
      <c r="F27" s="205">
        <f>(4957+7643+2917+804)/4500</f>
        <v>3.626888888888889</v>
      </c>
      <c r="G27" s="133">
        <v>1</v>
      </c>
      <c r="H27" s="141">
        <v>1</v>
      </c>
      <c r="I27" s="152">
        <f>F27*G27*H27*$H$6</f>
        <v>1088.0666666666666</v>
      </c>
      <c r="J27" s="152">
        <f>F27*G27*(1-H27)*$H$6</f>
        <v>0</v>
      </c>
      <c r="K27" s="5"/>
      <c r="L27" s="50"/>
      <c r="M27" s="164"/>
      <c r="N27" s="116" t="s">
        <v>175</v>
      </c>
      <c r="O27" s="50"/>
      <c r="P27" s="50"/>
      <c r="Q27" s="50"/>
      <c r="R27" s="50"/>
      <c r="S27" s="50"/>
    </row>
    <row r="28" spans="1:19" ht="15.75">
      <c r="A28" s="232"/>
      <c r="B28" s="30" t="s">
        <v>144</v>
      </c>
      <c r="C28" s="7"/>
      <c r="D28" s="7"/>
      <c r="E28" s="239"/>
      <c r="F28" s="240" t="s">
        <v>44</v>
      </c>
      <c r="G28" s="241"/>
      <c r="H28" s="242"/>
      <c r="I28" s="157"/>
      <c r="J28" s="157"/>
      <c r="K28" s="5"/>
      <c r="L28" s="50"/>
      <c r="M28" s="164"/>
      <c r="N28" s="112">
        <f>2000*0.46</f>
        <v>920</v>
      </c>
      <c r="O28" s="50" t="s">
        <v>180</v>
      </c>
      <c r="P28" s="50"/>
      <c r="Q28" s="50"/>
      <c r="R28" s="50"/>
      <c r="S28" s="50"/>
    </row>
    <row r="29" spans="1:19" ht="15.75">
      <c r="A29" s="232"/>
      <c r="B29" s="6" t="s">
        <v>151</v>
      </c>
      <c r="C29" s="7"/>
      <c r="D29" s="7"/>
      <c r="E29" s="140" t="s">
        <v>45</v>
      </c>
      <c r="F29" s="205">
        <v>0</v>
      </c>
      <c r="G29" s="133">
        <v>0</v>
      </c>
      <c r="H29" s="141">
        <v>1</v>
      </c>
      <c r="I29" s="152">
        <f>F29*G29*H29*$H$6</f>
        <v>0</v>
      </c>
      <c r="J29" s="152">
        <f>F29*G29*(1-H29)*$H$6</f>
        <v>0</v>
      </c>
      <c r="K29" s="5"/>
      <c r="L29" s="50"/>
      <c r="M29" s="164"/>
      <c r="N29" s="250">
        <v>600</v>
      </c>
      <c r="O29" s="50" t="s">
        <v>190</v>
      </c>
      <c r="P29" s="50"/>
      <c r="Q29" s="50"/>
      <c r="R29" s="50"/>
      <c r="S29" s="50"/>
    </row>
    <row r="30" spans="1:19" ht="15.75">
      <c r="A30" s="232"/>
      <c r="B30" s="6" t="s">
        <v>152</v>
      </c>
      <c r="C30" s="7"/>
      <c r="D30" s="7"/>
      <c r="E30" s="140" t="s">
        <v>45</v>
      </c>
      <c r="F30" s="205">
        <v>0</v>
      </c>
      <c r="G30" s="133">
        <v>0</v>
      </c>
      <c r="H30" s="141">
        <v>1</v>
      </c>
      <c r="I30" s="152">
        <f>F30*G30*H30*$H$6</f>
        <v>0</v>
      </c>
      <c r="J30" s="152">
        <f>F30*G30*(1-H30)*$H$6</f>
        <v>0</v>
      </c>
      <c r="K30" s="5"/>
      <c r="L30" s="50"/>
      <c r="M30" s="164"/>
      <c r="N30" s="200">
        <f>N29/920</f>
        <v>0.6521739130434783</v>
      </c>
      <c r="O30" s="50" t="s">
        <v>191</v>
      </c>
      <c r="P30" s="50"/>
      <c r="Q30" s="50"/>
      <c r="R30" s="50"/>
      <c r="S30" s="50"/>
    </row>
    <row r="31" spans="1:19" ht="15.75">
      <c r="A31" s="232"/>
      <c r="B31" s="6" t="s">
        <v>153</v>
      </c>
      <c r="C31" s="7"/>
      <c r="D31" s="7"/>
      <c r="E31" s="140" t="s">
        <v>45</v>
      </c>
      <c r="F31" s="205">
        <v>0</v>
      </c>
      <c r="G31" s="133">
        <v>0</v>
      </c>
      <c r="H31" s="161">
        <v>1</v>
      </c>
      <c r="I31" s="165">
        <f>F31*G31*H31*$H$6</f>
        <v>0</v>
      </c>
      <c r="J31" s="166">
        <f>F31*G31*(1-H31)*$H$6</f>
        <v>0</v>
      </c>
      <c r="K31" s="5"/>
      <c r="L31" s="50"/>
      <c r="M31" s="50"/>
      <c r="N31" s="50"/>
      <c r="O31" s="50"/>
      <c r="P31" s="50"/>
      <c r="Q31" s="50"/>
      <c r="R31" s="50"/>
      <c r="S31" s="50"/>
    </row>
    <row r="32" spans="1:19" ht="15.75">
      <c r="A32" s="232"/>
      <c r="B32" s="30" t="s">
        <v>145</v>
      </c>
      <c r="C32" s="7"/>
      <c r="D32" s="7"/>
      <c r="E32" s="158"/>
      <c r="F32" s="207" t="s">
        <v>44</v>
      </c>
      <c r="G32" s="158"/>
      <c r="H32" s="160"/>
      <c r="I32" s="160"/>
      <c r="J32" s="160"/>
      <c r="K32" s="5"/>
      <c r="L32" s="50"/>
      <c r="M32" s="50"/>
      <c r="N32" s="50"/>
      <c r="O32" s="50"/>
      <c r="P32" s="50"/>
      <c r="Q32" s="50"/>
      <c r="R32" s="50"/>
      <c r="S32" s="50"/>
    </row>
    <row r="33" spans="1:19" ht="15.75">
      <c r="A33" s="232"/>
      <c r="B33" s="6" t="s">
        <v>146</v>
      </c>
      <c r="C33" s="7"/>
      <c r="D33" s="7"/>
      <c r="E33" s="140" t="s">
        <v>45</v>
      </c>
      <c r="F33" s="205">
        <v>0</v>
      </c>
      <c r="G33" s="133">
        <v>1</v>
      </c>
      <c r="H33" s="160"/>
      <c r="I33" s="160"/>
      <c r="J33" s="152">
        <f>F33*G33*$H$6</f>
        <v>0</v>
      </c>
      <c r="K33" s="5"/>
      <c r="L33" s="50"/>
      <c r="M33" s="50"/>
      <c r="N33" s="50"/>
      <c r="O33" s="50"/>
      <c r="P33" s="50"/>
      <c r="Q33" s="50"/>
      <c r="R33" s="50"/>
      <c r="S33" s="50"/>
    </row>
    <row r="34" spans="1:19" ht="15.75">
      <c r="A34" s="232"/>
      <c r="B34" s="6" t="s">
        <v>147</v>
      </c>
      <c r="C34" s="7"/>
      <c r="D34" s="7"/>
      <c r="E34" s="140" t="s">
        <v>45</v>
      </c>
      <c r="F34" s="205">
        <v>10</v>
      </c>
      <c r="G34" s="133">
        <v>0.4</v>
      </c>
      <c r="H34" s="160"/>
      <c r="I34" s="159">
        <f>F34*G34*$H$6</f>
        <v>1200</v>
      </c>
      <c r="J34" s="160"/>
      <c r="K34" s="5"/>
      <c r="L34" s="50"/>
      <c r="M34" s="50"/>
      <c r="N34" s="50"/>
      <c r="O34" s="50"/>
      <c r="P34" s="50"/>
      <c r="Q34" s="50"/>
      <c r="R34" s="50"/>
      <c r="S34" s="50"/>
    </row>
    <row r="35" spans="1:19" ht="15.75">
      <c r="A35" s="232"/>
      <c r="B35" s="6" t="s">
        <v>148</v>
      </c>
      <c r="C35" s="7"/>
      <c r="D35" s="7"/>
      <c r="E35" s="140" t="s">
        <v>45</v>
      </c>
      <c r="F35" s="205">
        <v>0</v>
      </c>
      <c r="G35" s="133">
        <v>0.25</v>
      </c>
      <c r="H35" s="160"/>
      <c r="I35" s="159">
        <f>F35*G35*$H$6</f>
        <v>0</v>
      </c>
      <c r="J35" s="160"/>
      <c r="K35" s="5"/>
      <c r="L35" s="50"/>
      <c r="M35" s="50"/>
      <c r="N35" s="50"/>
      <c r="O35" s="50"/>
      <c r="P35" s="50"/>
      <c r="Q35" s="50"/>
      <c r="R35" s="50"/>
      <c r="S35" s="50"/>
    </row>
    <row r="36" spans="1:19" ht="15.75">
      <c r="A36" s="232"/>
      <c r="B36" s="6" t="s">
        <v>149</v>
      </c>
      <c r="C36" s="7"/>
      <c r="D36" s="7"/>
      <c r="E36" s="140" t="s">
        <v>45</v>
      </c>
      <c r="F36" s="205">
        <v>0</v>
      </c>
      <c r="G36" s="133">
        <v>1</v>
      </c>
      <c r="H36" s="160"/>
      <c r="I36" s="159">
        <f>F36*G36*$H$6</f>
        <v>0</v>
      </c>
      <c r="J36" s="160"/>
      <c r="K36" s="5"/>
      <c r="L36" s="50"/>
      <c r="M36" s="50"/>
      <c r="N36" s="50"/>
      <c r="O36" s="50"/>
      <c r="P36" s="50"/>
      <c r="Q36" s="50"/>
      <c r="R36" s="50"/>
      <c r="S36" s="50"/>
    </row>
    <row r="37" spans="1:19" ht="15.75">
      <c r="A37" s="232"/>
      <c r="B37" s="248" t="s">
        <v>164</v>
      </c>
      <c r="C37" s="8"/>
      <c r="D37" s="249"/>
      <c r="E37" s="140" t="s">
        <v>42</v>
      </c>
      <c r="F37" s="205">
        <v>0</v>
      </c>
      <c r="G37" s="133">
        <v>1</v>
      </c>
      <c r="H37" s="141">
        <v>1</v>
      </c>
      <c r="I37" s="152">
        <f>F37*G37*H37*$H$6</f>
        <v>0</v>
      </c>
      <c r="J37" s="152">
        <f>F37*G37*(1-H37)*$H$6</f>
        <v>0</v>
      </c>
      <c r="K37" s="5"/>
      <c r="L37" s="50"/>
      <c r="M37" s="50"/>
      <c r="N37" s="50"/>
      <c r="O37" s="50"/>
      <c r="P37" s="50"/>
      <c r="Q37" s="50"/>
      <c r="R37" s="50"/>
      <c r="S37" s="50"/>
    </row>
    <row r="38" spans="1:19" ht="15.75">
      <c r="A38" s="232"/>
      <c r="B38" s="248" t="s">
        <v>165</v>
      </c>
      <c r="C38" s="8"/>
      <c r="D38" s="249"/>
      <c r="E38" s="140" t="s">
        <v>42</v>
      </c>
      <c r="F38" s="205">
        <v>0</v>
      </c>
      <c r="G38" s="133">
        <v>1</v>
      </c>
      <c r="H38" s="141">
        <v>1</v>
      </c>
      <c r="I38" s="152">
        <f>F38*G38*H38*$H$6</f>
        <v>0</v>
      </c>
      <c r="J38" s="152">
        <f>F38*G38*(1-H38)*$H$6</f>
        <v>0</v>
      </c>
      <c r="K38" s="5"/>
      <c r="L38" s="50"/>
      <c r="M38" s="50"/>
      <c r="N38" s="50"/>
      <c r="O38" s="50"/>
      <c r="P38" s="50"/>
      <c r="Q38" s="50"/>
      <c r="R38" s="50"/>
      <c r="S38" s="50"/>
    </row>
    <row r="39" spans="1:19" ht="15.75">
      <c r="A39" s="232"/>
      <c r="B39" s="30" t="s">
        <v>150</v>
      </c>
      <c r="C39" s="7"/>
      <c r="D39" s="7"/>
      <c r="E39" s="140" t="s">
        <v>46</v>
      </c>
      <c r="F39" s="160"/>
      <c r="G39" s="160"/>
      <c r="H39" s="160"/>
      <c r="I39" s="152">
        <f>(SUM(I12:I31)+I37+I38)*'Revenue&amp;FixedCosts'!$D$17/12*$F$40</f>
        <v>661.0277333333335</v>
      </c>
      <c r="J39" s="152">
        <f>(SUM(J12:J31)+J37+J38)*'Revenue&amp;FixedCosts'!$D$17/12*$F$40</f>
        <v>90.92160000000001</v>
      </c>
      <c r="K39" s="5"/>
      <c r="L39" s="50"/>
      <c r="M39" s="50"/>
      <c r="N39" s="50"/>
      <c r="O39" s="50"/>
      <c r="P39" s="50"/>
      <c r="Q39" s="50"/>
      <c r="R39" s="50"/>
      <c r="S39" s="50"/>
    </row>
    <row r="40" spans="1:19" ht="15.75">
      <c r="A40" s="232"/>
      <c r="B40" s="6" t="s">
        <v>158</v>
      </c>
      <c r="C40" s="7"/>
      <c r="D40" s="7"/>
      <c r="E40" s="160"/>
      <c r="F40" s="133">
        <v>6</v>
      </c>
      <c r="G40" s="160"/>
      <c r="H40" s="160"/>
      <c r="I40" s="162"/>
      <c r="J40" s="163"/>
      <c r="K40" s="5"/>
      <c r="L40" s="50"/>
      <c r="M40" s="50"/>
      <c r="N40" s="50"/>
      <c r="O40" s="50"/>
      <c r="P40" s="50"/>
      <c r="Q40" s="50"/>
      <c r="R40" s="50"/>
      <c r="S40" s="50"/>
    </row>
    <row r="41" spans="1:19" ht="18.75">
      <c r="A41" s="232"/>
      <c r="B41" s="136" t="s">
        <v>160</v>
      </c>
      <c r="C41" s="10"/>
      <c r="D41" s="10"/>
      <c r="E41" s="158"/>
      <c r="F41" s="158"/>
      <c r="G41" s="158"/>
      <c r="H41" s="158"/>
      <c r="I41" s="267" t="s">
        <v>7</v>
      </c>
      <c r="J41" s="268" t="s">
        <v>6</v>
      </c>
      <c r="K41" s="5"/>
      <c r="L41" s="50"/>
      <c r="M41" s="50"/>
      <c r="N41" s="50"/>
      <c r="O41" s="50"/>
      <c r="P41" s="50"/>
      <c r="Q41" s="50"/>
      <c r="R41" s="50"/>
      <c r="S41" s="50"/>
    </row>
    <row r="42" spans="1:19" ht="15.75">
      <c r="A42" s="232"/>
      <c r="B42" s="30" t="s">
        <v>154</v>
      </c>
      <c r="C42" s="7"/>
      <c r="D42" s="7"/>
      <c r="E42" s="239"/>
      <c r="F42" s="243"/>
      <c r="G42" s="241"/>
      <c r="H42" s="242"/>
      <c r="I42" s="157"/>
      <c r="J42" s="157"/>
      <c r="K42" s="5"/>
      <c r="L42" s="50"/>
      <c r="M42" s="50"/>
      <c r="N42" s="50"/>
      <c r="O42" s="50"/>
      <c r="P42" s="50"/>
      <c r="Q42" s="50"/>
      <c r="R42" s="50"/>
      <c r="S42" s="50"/>
    </row>
    <row r="43" spans="1:19" ht="15.75">
      <c r="A43" s="232"/>
      <c r="B43" s="6" t="s">
        <v>137</v>
      </c>
      <c r="C43" s="7"/>
      <c r="D43" s="7"/>
      <c r="E43" s="140" t="s">
        <v>42</v>
      </c>
      <c r="F43" s="205">
        <f>(10808+540)/4500</f>
        <v>2.521777777777778</v>
      </c>
      <c r="G43" s="133">
        <v>1</v>
      </c>
      <c r="H43" s="141">
        <v>1</v>
      </c>
      <c r="I43" s="152">
        <f>F43*G43*H43*$H$6</f>
        <v>756.5333333333334</v>
      </c>
      <c r="J43" s="152">
        <f>F43*G43*(1-H43)*$H$6</f>
        <v>0</v>
      </c>
      <c r="K43" s="5"/>
      <c r="L43" s="50"/>
      <c r="M43" s="50"/>
      <c r="N43" s="50"/>
      <c r="O43" s="50"/>
      <c r="P43" s="50"/>
      <c r="Q43" s="50"/>
      <c r="R43" s="50"/>
      <c r="S43" s="50"/>
    </row>
    <row r="44" spans="1:19" ht="15.75">
      <c r="A44" s="232"/>
      <c r="B44" s="6" t="s">
        <v>138</v>
      </c>
      <c r="C44" s="7"/>
      <c r="D44" s="7"/>
      <c r="E44" s="140" t="s">
        <v>41</v>
      </c>
      <c r="F44" s="205">
        <f>14800/4500</f>
        <v>3.2888888888888888</v>
      </c>
      <c r="G44" s="133">
        <v>1</v>
      </c>
      <c r="H44" s="141">
        <v>1</v>
      </c>
      <c r="I44" s="152">
        <f>F44*G44*H44*$H$6</f>
        <v>986.6666666666666</v>
      </c>
      <c r="J44" s="152">
        <f>F44*G44*(1-H44)*$H$6</f>
        <v>0</v>
      </c>
      <c r="K44" s="5"/>
      <c r="L44" s="50"/>
      <c r="M44" s="50"/>
      <c r="N44" s="50"/>
      <c r="O44" s="50"/>
      <c r="P44" s="50"/>
      <c r="Q44" s="50"/>
      <c r="R44" s="50"/>
      <c r="S44" s="50"/>
    </row>
    <row r="45" spans="1:19" ht="15.75">
      <c r="A45" s="232"/>
      <c r="B45" s="6" t="s">
        <v>166</v>
      </c>
      <c r="C45" s="7"/>
      <c r="D45" s="7"/>
      <c r="E45" s="140" t="s">
        <v>41</v>
      </c>
      <c r="F45" s="205"/>
      <c r="G45" s="133">
        <v>1</v>
      </c>
      <c r="H45" s="141">
        <v>1</v>
      </c>
      <c r="I45" s="152">
        <f>F45*G45*H45*$H$6</f>
        <v>0</v>
      </c>
      <c r="J45" s="152">
        <f>F45*G45*(1-H45)*$H$6</f>
        <v>0</v>
      </c>
      <c r="K45" s="5"/>
      <c r="L45" s="50"/>
      <c r="M45" s="50"/>
      <c r="N45" s="50"/>
      <c r="O45" s="50"/>
      <c r="P45" s="50"/>
      <c r="Q45" s="50"/>
      <c r="R45" s="50"/>
      <c r="S45" s="50"/>
    </row>
    <row r="46" spans="1:19" ht="15.75">
      <c r="A46" s="232"/>
      <c r="B46" s="30" t="s">
        <v>155</v>
      </c>
      <c r="C46" s="7"/>
      <c r="D46" s="7"/>
      <c r="E46" s="239"/>
      <c r="F46" s="240"/>
      <c r="G46" s="241"/>
      <c r="H46" s="242"/>
      <c r="I46" s="157"/>
      <c r="J46" s="157"/>
      <c r="K46" s="5"/>
      <c r="L46" s="50"/>
      <c r="M46" s="50"/>
      <c r="N46" s="50"/>
      <c r="O46" s="50"/>
      <c r="P46" s="50"/>
      <c r="Q46" s="50"/>
      <c r="R46" s="50"/>
      <c r="S46" s="50"/>
    </row>
    <row r="47" spans="1:19" ht="15.75">
      <c r="A47" s="232"/>
      <c r="B47" s="6" t="s">
        <v>137</v>
      </c>
      <c r="C47" s="7"/>
      <c r="D47" s="7"/>
      <c r="E47" s="140" t="s">
        <v>42</v>
      </c>
      <c r="F47" s="205">
        <f>(8077+9387+337+469)/4500</f>
        <v>4.06</v>
      </c>
      <c r="G47" s="133">
        <v>1</v>
      </c>
      <c r="H47" s="141">
        <v>1</v>
      </c>
      <c r="I47" s="152">
        <f>F47*G47*H47*$H$6</f>
        <v>1217.9999999999998</v>
      </c>
      <c r="J47" s="152">
        <f>F47*G47*(1-H47)*$H$6</f>
        <v>0</v>
      </c>
      <c r="K47" s="5"/>
      <c r="L47" s="50"/>
      <c r="M47" s="50"/>
      <c r="N47" s="50"/>
      <c r="O47" s="50"/>
      <c r="P47" s="50"/>
      <c r="Q47" s="50"/>
      <c r="R47" s="50"/>
      <c r="S47" s="50"/>
    </row>
    <row r="48" spans="1:19" ht="15.75">
      <c r="A48" s="232"/>
      <c r="B48" s="6" t="s">
        <v>138</v>
      </c>
      <c r="C48" s="7"/>
      <c r="D48" s="7"/>
      <c r="E48" s="140" t="s">
        <v>41</v>
      </c>
      <c r="F48" s="205">
        <f>(1750+1426)/4500</f>
        <v>0.7057777777777777</v>
      </c>
      <c r="G48" s="133">
        <v>1</v>
      </c>
      <c r="H48" s="141">
        <v>1</v>
      </c>
      <c r="I48" s="152">
        <f>F48*G48*H48*$H$6</f>
        <v>211.73333333333332</v>
      </c>
      <c r="J48" s="152">
        <f>F48*G48*(1-H48)*$H$6</f>
        <v>0</v>
      </c>
      <c r="K48" s="5"/>
      <c r="L48" s="50"/>
      <c r="M48" s="50"/>
      <c r="N48" s="50"/>
      <c r="O48" s="50"/>
      <c r="P48" s="50"/>
      <c r="Q48" s="50"/>
      <c r="R48" s="50"/>
      <c r="S48" s="50"/>
    </row>
    <row r="49" spans="1:19" ht="15.75">
      <c r="A49" s="232"/>
      <c r="B49" s="6" t="s">
        <v>167</v>
      </c>
      <c r="C49" s="7"/>
      <c r="D49" s="7"/>
      <c r="E49" s="140" t="s">
        <v>41</v>
      </c>
      <c r="F49" s="205"/>
      <c r="G49" s="133">
        <v>1</v>
      </c>
      <c r="H49" s="141">
        <v>1</v>
      </c>
      <c r="I49" s="152">
        <f>F49*G49*H49*$H$6</f>
        <v>0</v>
      </c>
      <c r="J49" s="152">
        <f>F49*G49*(1-H49)*$H$6</f>
        <v>0</v>
      </c>
      <c r="K49" s="5"/>
      <c r="L49" s="50"/>
      <c r="M49" s="50"/>
      <c r="N49" s="50"/>
      <c r="O49" s="50"/>
      <c r="P49" s="50"/>
      <c r="Q49" s="50"/>
      <c r="R49" s="50"/>
      <c r="S49" s="50"/>
    </row>
    <row r="50" spans="1:19" ht="15.75">
      <c r="A50" s="232"/>
      <c r="B50" s="30" t="s">
        <v>156</v>
      </c>
      <c r="C50" s="7"/>
      <c r="D50" s="7"/>
      <c r="E50" s="140" t="s">
        <v>46</v>
      </c>
      <c r="F50" s="160"/>
      <c r="G50" s="160"/>
      <c r="H50" s="160"/>
      <c r="I50" s="153">
        <f>SUM(I43:I49)*'Revenue&amp;FixedCosts'!$D$17/12*$F$51</f>
        <v>0</v>
      </c>
      <c r="J50" s="153">
        <f>SUM(J42:J48)*'Revenue&amp;FixedCosts'!$D$17/12*$F$51</f>
        <v>0</v>
      </c>
      <c r="K50" s="5"/>
      <c r="L50" s="50"/>
      <c r="M50" s="50"/>
      <c r="N50" s="50"/>
      <c r="O50" s="50"/>
      <c r="P50" s="50"/>
      <c r="Q50" s="50"/>
      <c r="R50" s="50"/>
      <c r="S50" s="50"/>
    </row>
    <row r="51" spans="1:19" ht="15.75">
      <c r="A51" s="232"/>
      <c r="B51" s="139" t="s">
        <v>157</v>
      </c>
      <c r="C51" s="7"/>
      <c r="D51" s="7"/>
      <c r="E51" s="160"/>
      <c r="F51" s="133">
        <v>0</v>
      </c>
      <c r="G51" s="160"/>
      <c r="H51" s="162"/>
      <c r="I51" s="162"/>
      <c r="J51" s="163"/>
      <c r="K51" s="5"/>
      <c r="L51" s="50"/>
      <c r="M51" s="50"/>
      <c r="N51" s="50"/>
      <c r="O51" s="50"/>
      <c r="P51" s="50"/>
      <c r="Q51" s="50"/>
      <c r="R51" s="50"/>
      <c r="S51" s="50"/>
    </row>
    <row r="52" spans="1:19" ht="15.75">
      <c r="A52" s="232"/>
      <c r="B52" s="244"/>
      <c r="C52" s="137" t="s">
        <v>118</v>
      </c>
      <c r="D52" s="138" t="str">
        <f>$H$3</f>
        <v>Malt Barley</v>
      </c>
      <c r="E52" s="138" t="s">
        <v>23</v>
      </c>
      <c r="F52" s="138"/>
      <c r="G52" s="138"/>
      <c r="H52" s="244"/>
      <c r="I52" s="198">
        <f>SUM(I12:I50)</f>
        <v>23920.467733333335</v>
      </c>
      <c r="J52" s="198">
        <f>SUM(J12:J50)</f>
        <v>2688.6816000000003</v>
      </c>
      <c r="K52" s="5"/>
      <c r="L52" s="50"/>
      <c r="M52" s="50"/>
      <c r="N52" s="50"/>
      <c r="O52" s="50"/>
      <c r="P52" s="50"/>
      <c r="Q52" s="50"/>
      <c r="R52" s="50"/>
      <c r="S52" s="50"/>
    </row>
    <row r="53" spans="1:19" ht="15.75">
      <c r="A53" s="232"/>
      <c r="B53" s="7"/>
      <c r="C53" s="7"/>
      <c r="D53" s="7"/>
      <c r="E53" s="7"/>
      <c r="F53" s="7"/>
      <c r="G53" s="7"/>
      <c r="H53" s="194" t="s">
        <v>179</v>
      </c>
      <c r="I53" s="195">
        <f>IF(H6=0,0,I52/H6)</f>
        <v>79.73489244444445</v>
      </c>
      <c r="J53" s="197">
        <f>IF(H6=0,0,J52/H6)</f>
        <v>8.962272</v>
      </c>
      <c r="K53" s="1"/>
      <c r="L53" s="50"/>
      <c r="M53" s="50"/>
      <c r="N53" s="50"/>
      <c r="O53" s="50"/>
      <c r="P53" s="50"/>
      <c r="Q53" s="50"/>
      <c r="R53" s="50"/>
      <c r="S53" s="50"/>
    </row>
    <row r="54" spans="1:19" ht="15.75">
      <c r="A54" s="232"/>
      <c r="B54" s="7"/>
      <c r="C54" s="7"/>
      <c r="D54" s="7"/>
      <c r="E54" s="7"/>
      <c r="F54" s="7"/>
      <c r="G54" s="7"/>
      <c r="H54" s="7"/>
      <c r="I54" s="196" t="s">
        <v>178</v>
      </c>
      <c r="J54" s="195">
        <f>I53+J53</f>
        <v>88.69716444444445</v>
      </c>
      <c r="K54" s="1"/>
      <c r="L54" s="50"/>
      <c r="M54" s="50"/>
      <c r="N54" s="50"/>
      <c r="O54" s="50"/>
      <c r="P54" s="50"/>
      <c r="Q54" s="50"/>
      <c r="R54" s="50"/>
      <c r="S54" s="50"/>
    </row>
    <row r="55" spans="1:19" ht="15.75">
      <c r="A55" s="232"/>
      <c r="B55" s="7"/>
      <c r="C55" s="7"/>
      <c r="D55" s="7"/>
      <c r="E55" s="7"/>
      <c r="F55" s="7"/>
      <c r="G55" s="7"/>
      <c r="H55" s="7"/>
      <c r="I55" s="253" t="s">
        <v>198</v>
      </c>
      <c r="J55" s="195">
        <f>IF(H5=0,"NA",J54/H5)</f>
        <v>1.7057147008547011</v>
      </c>
      <c r="K55" s="1"/>
      <c r="L55" s="50"/>
      <c r="M55" s="50"/>
      <c r="N55" s="50"/>
      <c r="O55" s="50"/>
      <c r="P55" s="50"/>
      <c r="Q55" s="50"/>
      <c r="R55" s="50"/>
      <c r="S55" s="50"/>
    </row>
    <row r="56" spans="1:19" ht="15.75">
      <c r="A56" s="232"/>
      <c r="B56" s="50"/>
      <c r="C56" s="50"/>
      <c r="D56" s="50"/>
      <c r="E56" s="50"/>
      <c r="F56" s="50"/>
      <c r="G56" s="50"/>
      <c r="H56" s="50"/>
      <c r="I56" s="196" t="s">
        <v>227</v>
      </c>
      <c r="J56" s="286">
        <f>H6*J54</f>
        <v>26609.149333333335</v>
      </c>
      <c r="K56" s="50"/>
      <c r="L56" s="50"/>
      <c r="M56" s="50"/>
      <c r="N56" s="50"/>
      <c r="O56" s="50"/>
      <c r="P56" s="50"/>
      <c r="Q56" s="50"/>
      <c r="R56" s="50"/>
      <c r="S56" s="50"/>
    </row>
    <row r="57" spans="1:19" ht="15.75">
      <c r="A57" s="232"/>
      <c r="B57" s="50"/>
      <c r="C57" s="50"/>
      <c r="D57" s="50"/>
      <c r="E57" s="50"/>
      <c r="F57" s="50"/>
      <c r="G57" s="50"/>
      <c r="H57" s="50"/>
      <c r="I57" s="50"/>
      <c r="J57" s="50"/>
      <c r="K57" s="50"/>
      <c r="L57" s="50"/>
      <c r="M57" s="50"/>
      <c r="N57" s="50"/>
      <c r="O57" s="50"/>
      <c r="P57" s="50"/>
      <c r="Q57" s="50"/>
      <c r="R57" s="50"/>
      <c r="S57" s="50"/>
    </row>
    <row r="58" spans="1:19" ht="15.75">
      <c r="A58" s="232"/>
      <c r="B58" s="50"/>
      <c r="C58" s="50"/>
      <c r="D58" s="50"/>
      <c r="E58" s="50"/>
      <c r="F58" s="50"/>
      <c r="G58" s="50"/>
      <c r="H58" s="50"/>
      <c r="I58" s="50"/>
      <c r="J58" s="50"/>
      <c r="K58" s="50"/>
      <c r="L58" s="50"/>
      <c r="M58" s="50"/>
      <c r="N58" s="50"/>
      <c r="O58" s="50"/>
      <c r="P58" s="50"/>
      <c r="Q58" s="50"/>
      <c r="R58" s="50"/>
      <c r="S58" s="50"/>
    </row>
    <row r="59" spans="1:19" ht="15.75">
      <c r="A59" s="232"/>
      <c r="B59" s="50"/>
      <c r="C59" s="50"/>
      <c r="D59" s="50"/>
      <c r="E59" s="50"/>
      <c r="F59" s="50"/>
      <c r="G59" s="50"/>
      <c r="H59" s="50"/>
      <c r="I59" s="50"/>
      <c r="J59" s="50"/>
      <c r="K59" s="50"/>
      <c r="L59" s="50"/>
      <c r="M59" s="50"/>
      <c r="N59" s="50"/>
      <c r="O59" s="50"/>
      <c r="P59" s="50"/>
      <c r="Q59" s="50"/>
      <c r="R59" s="50"/>
      <c r="S59" s="50"/>
    </row>
  </sheetData>
  <sheetProtection sheet="1" formatCells="0" formatColumns="0" formatRows="0"/>
  <mergeCells count="6">
    <mergeCell ref="I3:I4"/>
    <mergeCell ref="J3:J4"/>
    <mergeCell ref="E3:E4"/>
    <mergeCell ref="F3:F4"/>
    <mergeCell ref="G3:G4"/>
    <mergeCell ref="H3:H4"/>
  </mergeCells>
  <printOptions/>
  <pageMargins left="0.75" right="0.75" top="1" bottom="1" header="0.5" footer="0.5"/>
  <pageSetup fitToHeight="1" fitToWidth="1" horizontalDpi="300" verticalDpi="300" orientation="portrait" scale="47"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R67"/>
  <sheetViews>
    <sheetView showGridLines="0" zoomScalePageLayoutView="0" workbookViewId="0" topLeftCell="A1">
      <selection activeCell="A1" sqref="A1"/>
    </sheetView>
  </sheetViews>
  <sheetFormatPr defaultColWidth="8.796875" defaultRowHeight="15"/>
  <cols>
    <col min="1" max="1" width="4.09765625" style="120" customWidth="1"/>
    <col min="2" max="4" width="12.69921875" style="0" customWidth="1"/>
    <col min="5" max="10" width="11.69921875" style="0" customWidth="1"/>
  </cols>
  <sheetData>
    <row r="1" spans="1:18" ht="15.75">
      <c r="A1" s="232"/>
      <c r="B1" s="50"/>
      <c r="C1" s="50"/>
      <c r="D1" s="50"/>
      <c r="E1" s="50"/>
      <c r="F1" s="50"/>
      <c r="G1" s="50"/>
      <c r="H1" s="50"/>
      <c r="I1" s="50"/>
      <c r="J1" s="50"/>
      <c r="K1" s="50"/>
      <c r="L1" s="50"/>
      <c r="M1" s="50"/>
      <c r="N1" s="50"/>
      <c r="O1" s="50"/>
      <c r="P1" s="50"/>
      <c r="Q1" s="50"/>
      <c r="R1" s="50"/>
    </row>
    <row r="2" spans="1:18" ht="16.5" thickBot="1">
      <c r="A2" s="232"/>
      <c r="B2" s="50"/>
      <c r="C2" s="50"/>
      <c r="D2" s="50"/>
      <c r="E2" s="208" t="str">
        <f>'Revenue&amp;FixedCosts'!C8</f>
        <v>Crop#1</v>
      </c>
      <c r="F2" s="208" t="str">
        <f>'Revenue&amp;FixedCosts'!D8</f>
        <v>Crop#2</v>
      </c>
      <c r="G2" s="208" t="str">
        <f>'Revenue&amp;FixedCosts'!E8</f>
        <v>Crop#3</v>
      </c>
      <c r="H2" s="208" t="str">
        <f>'Revenue&amp;FixedCosts'!F8</f>
        <v>Crop#4</v>
      </c>
      <c r="I2" s="258" t="str">
        <f>'Revenue&amp;FixedCosts'!G8</f>
        <v>Crop#5</v>
      </c>
      <c r="J2" s="208" t="str">
        <f>'Revenue&amp;FixedCosts'!H8</f>
        <v>Crop#6</v>
      </c>
      <c r="K2" s="50"/>
      <c r="L2" s="50"/>
      <c r="M2" s="50"/>
      <c r="N2" s="50"/>
      <c r="O2" s="50"/>
      <c r="P2" s="50"/>
      <c r="Q2" s="50"/>
      <c r="R2" s="50"/>
    </row>
    <row r="3" spans="1:18" ht="15.75">
      <c r="A3" s="232"/>
      <c r="B3" s="50"/>
      <c r="C3" s="50"/>
      <c r="D3" s="50"/>
      <c r="E3" s="290" t="str">
        <f>'Revenue&amp;FixedCosts'!C9</f>
        <v>Winter Wheat</v>
      </c>
      <c r="F3" s="290" t="str">
        <f>'Revenue&amp;FixedCosts'!D9</f>
        <v>Spring Wheat</v>
      </c>
      <c r="G3" s="290" t="str">
        <f>'Revenue&amp;FixedCosts'!E9</f>
        <v>Durum</v>
      </c>
      <c r="H3" s="290" t="str">
        <f>'Revenue&amp;FixedCosts'!F9</f>
        <v>Malt Barley</v>
      </c>
      <c r="I3" s="292" t="str">
        <f>'Revenue&amp;FixedCosts'!G9</f>
        <v>Summer Fallow</v>
      </c>
      <c r="J3" s="290" t="str">
        <f>'Revenue&amp;FixedCosts'!H9</f>
        <v>Not Used</v>
      </c>
      <c r="K3" s="50"/>
      <c r="L3" s="50"/>
      <c r="M3" s="50"/>
      <c r="N3" s="50"/>
      <c r="O3" s="50"/>
      <c r="P3" s="50"/>
      <c r="Q3" s="50"/>
      <c r="R3" s="50"/>
    </row>
    <row r="4" spans="1:18" ht="15.75">
      <c r="A4" s="232"/>
      <c r="B4" s="50"/>
      <c r="C4" s="50"/>
      <c r="D4" s="50"/>
      <c r="E4" s="291"/>
      <c r="F4" s="291"/>
      <c r="G4" s="291"/>
      <c r="H4" s="291"/>
      <c r="I4" s="293"/>
      <c r="J4" s="291"/>
      <c r="K4" s="50"/>
      <c r="L4" s="50"/>
      <c r="M4" s="50"/>
      <c r="N4" s="50"/>
      <c r="O4" s="50"/>
      <c r="P4" s="50"/>
      <c r="Q4" s="50"/>
      <c r="R4" s="50"/>
    </row>
    <row r="5" spans="1:18" ht="15.75">
      <c r="A5" s="232"/>
      <c r="B5" s="50"/>
      <c r="C5" s="50"/>
      <c r="D5" s="50" t="str">
        <f>'Revenue&amp;FixedCosts'!B12</f>
        <v>Expected Yield</v>
      </c>
      <c r="E5" s="209">
        <f>'Revenue&amp;FixedCosts'!C12</f>
        <v>42</v>
      </c>
      <c r="F5" s="209">
        <f>'Revenue&amp;FixedCosts'!D12</f>
        <v>28</v>
      </c>
      <c r="G5" s="209">
        <f>'Revenue&amp;FixedCosts'!E12</f>
        <v>22</v>
      </c>
      <c r="H5" s="209">
        <f>'Revenue&amp;FixedCosts'!F12</f>
        <v>52</v>
      </c>
      <c r="I5" s="259">
        <f>'Revenue&amp;FixedCosts'!G12</f>
        <v>0</v>
      </c>
      <c r="J5" s="209">
        <f>'Revenue&amp;FixedCosts'!H12</f>
        <v>0</v>
      </c>
      <c r="K5" s="50"/>
      <c r="L5" s="50"/>
      <c r="M5" s="50"/>
      <c r="N5" s="50"/>
      <c r="O5" s="50"/>
      <c r="P5" s="50"/>
      <c r="Q5" s="50"/>
      <c r="R5" s="50"/>
    </row>
    <row r="6" spans="1:18" ht="15.75">
      <c r="A6" s="232"/>
      <c r="B6" s="7" t="s">
        <v>123</v>
      </c>
      <c r="C6" s="7"/>
      <c r="D6" s="50" t="s">
        <v>199</v>
      </c>
      <c r="E6" s="209">
        <f>'Revenue&amp;FixedCosts'!C11</f>
        <v>400</v>
      </c>
      <c r="F6" s="209">
        <f>'Revenue&amp;FixedCosts'!D11</f>
        <v>750</v>
      </c>
      <c r="G6" s="209">
        <f>'Revenue&amp;FixedCosts'!E11</f>
        <v>500</v>
      </c>
      <c r="H6" s="209">
        <f>'Revenue&amp;FixedCosts'!F11</f>
        <v>300</v>
      </c>
      <c r="I6" s="260">
        <f>'Revenue&amp;FixedCosts'!$G$11</f>
        <v>550</v>
      </c>
      <c r="J6" s="209">
        <f>'Revenue&amp;FixedCosts'!$H$11</f>
        <v>0</v>
      </c>
      <c r="K6" s="1"/>
      <c r="L6" s="50"/>
      <c r="M6" s="50"/>
      <c r="N6" s="50"/>
      <c r="O6" s="50"/>
      <c r="P6" s="50"/>
      <c r="Q6" s="50"/>
      <c r="R6" s="50"/>
    </row>
    <row r="7" spans="1:18" ht="18.75">
      <c r="A7" s="232"/>
      <c r="B7" s="41" t="str">
        <f>'Revenue&amp;FixedCosts'!$G$9</f>
        <v>Summer Fallow</v>
      </c>
      <c r="C7" s="50"/>
      <c r="E7" s="18" t="s">
        <v>50</v>
      </c>
      <c r="F7" s="10"/>
      <c r="G7" s="10"/>
      <c r="H7" s="10"/>
      <c r="I7" s="10"/>
      <c r="J7" s="10"/>
      <c r="K7" s="5"/>
      <c r="L7" s="50"/>
      <c r="M7" s="50"/>
      <c r="N7" s="50"/>
      <c r="O7" s="50"/>
      <c r="P7" s="50"/>
      <c r="Q7" s="50"/>
      <c r="R7" s="50"/>
    </row>
    <row r="8" spans="1:18" ht="15" customHeight="1">
      <c r="A8" s="232"/>
      <c r="B8" s="10"/>
      <c r="C8" s="10"/>
      <c r="D8" s="10"/>
      <c r="E8" s="11"/>
      <c r="F8" s="14" t="s">
        <v>35</v>
      </c>
      <c r="G8" s="15" t="s">
        <v>36</v>
      </c>
      <c r="H8" s="15" t="s">
        <v>2</v>
      </c>
      <c r="I8" s="15" t="s">
        <v>3</v>
      </c>
      <c r="J8" s="15" t="s">
        <v>3</v>
      </c>
      <c r="K8" s="5"/>
      <c r="L8" s="50"/>
      <c r="M8" s="50"/>
      <c r="N8" s="50"/>
      <c r="O8" s="50"/>
      <c r="P8" s="50"/>
      <c r="Q8" s="50"/>
      <c r="R8" s="50"/>
    </row>
    <row r="9" spans="1:18" ht="15" customHeight="1">
      <c r="A9" s="232"/>
      <c r="B9" s="7"/>
      <c r="C9" s="7"/>
      <c r="D9" s="7"/>
      <c r="E9" s="12"/>
      <c r="F9" s="13" t="s">
        <v>37</v>
      </c>
      <c r="G9" s="9" t="s">
        <v>37</v>
      </c>
      <c r="H9" s="9" t="s">
        <v>7</v>
      </c>
      <c r="I9" s="265" t="s">
        <v>7</v>
      </c>
      <c r="J9" s="266" t="s">
        <v>6</v>
      </c>
      <c r="K9" s="5"/>
      <c r="L9" s="50"/>
      <c r="M9" s="50"/>
      <c r="N9" s="50"/>
      <c r="O9" s="50"/>
      <c r="P9" s="50"/>
      <c r="Q9" s="50"/>
      <c r="R9" s="50"/>
    </row>
    <row r="10" spans="1:18" ht="15" customHeight="1">
      <c r="A10" s="232"/>
      <c r="B10" s="41" t="s">
        <v>159</v>
      </c>
      <c r="C10" s="7"/>
      <c r="D10" s="7"/>
      <c r="E10" s="19" t="s">
        <v>38</v>
      </c>
      <c r="F10" s="13" t="s">
        <v>39</v>
      </c>
      <c r="G10" s="9" t="s">
        <v>39</v>
      </c>
      <c r="H10" s="9" t="s">
        <v>9</v>
      </c>
      <c r="I10" s="9" t="s">
        <v>9</v>
      </c>
      <c r="J10" s="9" t="s">
        <v>9</v>
      </c>
      <c r="K10" s="5"/>
      <c r="L10" s="50"/>
      <c r="M10" s="50"/>
      <c r="N10" s="50"/>
      <c r="O10" s="50"/>
      <c r="P10" s="50"/>
      <c r="Q10" s="50"/>
      <c r="R10" s="50"/>
    </row>
    <row r="11" spans="1:18" ht="15.75">
      <c r="A11" s="232"/>
      <c r="B11" s="10"/>
      <c r="C11" s="10"/>
      <c r="D11" s="10"/>
      <c r="E11" s="158"/>
      <c r="F11" s="158"/>
      <c r="G11" s="158"/>
      <c r="H11" s="158"/>
      <c r="I11" s="158"/>
      <c r="J11" s="158"/>
      <c r="K11" s="5"/>
      <c r="L11" s="50"/>
      <c r="M11" s="50"/>
      <c r="N11" s="50"/>
      <c r="O11" s="50"/>
      <c r="P11" s="50"/>
      <c r="Q11" s="50"/>
      <c r="R11" s="50"/>
    </row>
    <row r="12" spans="1:18" ht="15.75">
      <c r="A12" s="232"/>
      <c r="B12" s="30" t="s">
        <v>139</v>
      </c>
      <c r="C12" s="7"/>
      <c r="D12" s="7"/>
      <c r="E12" s="140" t="s">
        <v>40</v>
      </c>
      <c r="F12" s="205">
        <v>0</v>
      </c>
      <c r="G12" s="133">
        <v>1</v>
      </c>
      <c r="H12" s="141">
        <v>1</v>
      </c>
      <c r="I12" s="152">
        <f aca="true" t="shared" si="0" ref="I12:I21">F12*G12*H12*$I$6</f>
        <v>0</v>
      </c>
      <c r="J12" s="152">
        <f aca="true" t="shared" si="1" ref="J12:J21">F12*G12*(1-H12)*$I$6</f>
        <v>0</v>
      </c>
      <c r="K12" s="5"/>
      <c r="L12" s="50"/>
      <c r="M12" s="50"/>
      <c r="N12" s="50"/>
      <c r="O12" s="50"/>
      <c r="P12" s="50"/>
      <c r="Q12" s="50"/>
      <c r="R12" s="50"/>
    </row>
    <row r="13" spans="1:18" ht="15.75">
      <c r="A13" s="232"/>
      <c r="B13" s="30" t="s">
        <v>140</v>
      </c>
      <c r="C13" s="21"/>
      <c r="D13" s="233"/>
      <c r="E13" s="140" t="s">
        <v>41</v>
      </c>
      <c r="F13" s="205">
        <f>17.22+1.59+3.13+1.58</f>
        <v>23.519999999999996</v>
      </c>
      <c r="G13" s="133">
        <v>1</v>
      </c>
      <c r="H13" s="141">
        <v>1</v>
      </c>
      <c r="I13" s="152">
        <f t="shared" si="0"/>
        <v>12935.999999999998</v>
      </c>
      <c r="J13" s="152">
        <f t="shared" si="1"/>
        <v>0</v>
      </c>
      <c r="K13" s="5"/>
      <c r="L13" s="50"/>
      <c r="M13" s="50"/>
      <c r="N13" s="50"/>
      <c r="O13" s="50"/>
      <c r="P13" s="50"/>
      <c r="Q13" s="50"/>
      <c r="R13" s="50"/>
    </row>
    <row r="14" spans="1:18" ht="15.75">
      <c r="A14" s="232"/>
      <c r="B14" s="202"/>
      <c r="C14" s="203"/>
      <c r="D14" s="8"/>
      <c r="E14" s="140" t="s">
        <v>41</v>
      </c>
      <c r="F14" s="205">
        <v>0</v>
      </c>
      <c r="G14" s="133">
        <v>1</v>
      </c>
      <c r="H14" s="141">
        <v>1</v>
      </c>
      <c r="I14" s="152">
        <f t="shared" si="0"/>
        <v>0</v>
      </c>
      <c r="J14" s="152">
        <f t="shared" si="1"/>
        <v>0</v>
      </c>
      <c r="K14" s="5"/>
      <c r="L14" s="50"/>
      <c r="M14" s="50"/>
      <c r="N14" s="50"/>
      <c r="O14" s="50"/>
      <c r="P14" s="50"/>
      <c r="Q14" s="50"/>
      <c r="R14" s="50"/>
    </row>
    <row r="15" spans="1:18" ht="15.75">
      <c r="A15" s="232"/>
      <c r="B15" s="202"/>
      <c r="C15" s="203"/>
      <c r="D15" s="8"/>
      <c r="E15" s="140" t="s">
        <v>41</v>
      </c>
      <c r="F15" s="205">
        <v>0</v>
      </c>
      <c r="G15" s="133">
        <v>1</v>
      </c>
      <c r="H15" s="141">
        <v>1</v>
      </c>
      <c r="I15" s="152">
        <f t="shared" si="0"/>
        <v>0</v>
      </c>
      <c r="J15" s="152">
        <f t="shared" si="1"/>
        <v>0</v>
      </c>
      <c r="K15" s="5"/>
      <c r="L15" s="50"/>
      <c r="M15" s="164"/>
      <c r="N15" s="50"/>
      <c r="O15" s="50"/>
      <c r="P15" s="234" t="s">
        <v>184</v>
      </c>
      <c r="Q15" s="50"/>
      <c r="R15" s="50"/>
    </row>
    <row r="16" spans="1:18" ht="15.75">
      <c r="A16" s="232"/>
      <c r="B16" s="30" t="s">
        <v>162</v>
      </c>
      <c r="C16" s="7"/>
      <c r="D16" s="21"/>
      <c r="E16" s="140" t="s">
        <v>42</v>
      </c>
      <c r="F16" s="205">
        <v>0</v>
      </c>
      <c r="G16" s="133">
        <v>1</v>
      </c>
      <c r="H16" s="141">
        <v>1</v>
      </c>
      <c r="I16" s="152">
        <f t="shared" si="0"/>
        <v>0</v>
      </c>
      <c r="J16" s="152">
        <f t="shared" si="1"/>
        <v>0</v>
      </c>
      <c r="K16" s="5"/>
      <c r="L16" s="50"/>
      <c r="M16" s="164"/>
      <c r="N16" s="50"/>
      <c r="O16" s="50"/>
      <c r="P16" s="235" t="s">
        <v>185</v>
      </c>
      <c r="Q16" s="50"/>
      <c r="R16" s="50"/>
    </row>
    <row r="17" spans="1:18" ht="15.75">
      <c r="A17" s="232"/>
      <c r="B17" s="30" t="s">
        <v>141</v>
      </c>
      <c r="C17" s="21"/>
      <c r="D17" s="233"/>
      <c r="E17" s="140" t="s">
        <v>43</v>
      </c>
      <c r="F17" s="205">
        <v>0</v>
      </c>
      <c r="G17" s="133">
        <v>1</v>
      </c>
      <c r="H17" s="141">
        <v>0</v>
      </c>
      <c r="I17" s="152">
        <f t="shared" si="0"/>
        <v>0</v>
      </c>
      <c r="J17" s="152">
        <f t="shared" si="1"/>
        <v>0</v>
      </c>
      <c r="K17" s="5"/>
      <c r="L17" s="50"/>
      <c r="M17" s="164"/>
      <c r="N17" s="50"/>
      <c r="O17" s="50"/>
      <c r="P17" s="236" t="s">
        <v>186</v>
      </c>
      <c r="Q17" s="50"/>
      <c r="R17" s="50"/>
    </row>
    <row r="18" spans="1:18" ht="15.75">
      <c r="A18" s="232"/>
      <c r="B18" s="202"/>
      <c r="C18" s="203" t="s">
        <v>176</v>
      </c>
      <c r="D18" s="20"/>
      <c r="E18" s="140" t="s">
        <v>174</v>
      </c>
      <c r="F18" s="205">
        <v>0</v>
      </c>
      <c r="G18" s="133">
        <v>1</v>
      </c>
      <c r="H18" s="141">
        <v>0</v>
      </c>
      <c r="I18" s="152">
        <f t="shared" si="0"/>
        <v>0</v>
      </c>
      <c r="J18" s="152">
        <f t="shared" si="1"/>
        <v>0</v>
      </c>
      <c r="K18" s="5"/>
      <c r="L18" s="50"/>
      <c r="M18" s="164"/>
      <c r="N18" s="199" t="s">
        <v>176</v>
      </c>
      <c r="O18" s="251">
        <v>0.024038461538461543</v>
      </c>
      <c r="P18" s="237">
        <f>2000*O18</f>
        <v>48.07692307692309</v>
      </c>
      <c r="Q18" s="50"/>
      <c r="R18" s="50"/>
    </row>
    <row r="19" spans="1:18" ht="15.75">
      <c r="A19" s="232"/>
      <c r="B19" s="202"/>
      <c r="C19" s="203" t="s">
        <v>175</v>
      </c>
      <c r="D19" s="8"/>
      <c r="E19" s="140" t="s">
        <v>43</v>
      </c>
      <c r="F19" s="205">
        <v>0</v>
      </c>
      <c r="G19" s="133">
        <v>1</v>
      </c>
      <c r="H19" s="141">
        <v>0</v>
      </c>
      <c r="I19" s="152">
        <f t="shared" si="0"/>
        <v>0</v>
      </c>
      <c r="J19" s="152">
        <f t="shared" si="1"/>
        <v>0</v>
      </c>
      <c r="K19" s="5"/>
      <c r="L19" s="50"/>
      <c r="M19" s="164" t="s">
        <v>181</v>
      </c>
      <c r="N19" s="112">
        <f>2000*0.11</f>
        <v>220</v>
      </c>
      <c r="O19" s="238">
        <f>N19*$O$18</f>
        <v>5.288461538461539</v>
      </c>
      <c r="P19" s="50"/>
      <c r="Q19" s="50"/>
      <c r="R19" s="50"/>
    </row>
    <row r="20" spans="1:18" ht="15.75">
      <c r="A20" s="232"/>
      <c r="B20" s="30" t="s">
        <v>163</v>
      </c>
      <c r="C20" s="7"/>
      <c r="D20" s="7"/>
      <c r="E20" s="140" t="s">
        <v>42</v>
      </c>
      <c r="F20" s="205">
        <v>0</v>
      </c>
      <c r="G20" s="133">
        <v>1</v>
      </c>
      <c r="H20" s="141">
        <v>1</v>
      </c>
      <c r="I20" s="152">
        <f t="shared" si="0"/>
        <v>0</v>
      </c>
      <c r="J20" s="152">
        <f t="shared" si="1"/>
        <v>0</v>
      </c>
      <c r="K20" s="5"/>
      <c r="L20" s="50"/>
      <c r="M20" s="164" t="s">
        <v>182</v>
      </c>
      <c r="N20" s="112">
        <f>2000*0.52</f>
        <v>1040</v>
      </c>
      <c r="O20" s="238">
        <f>N20*$O$18</f>
        <v>25.000000000000004</v>
      </c>
      <c r="P20" s="50"/>
      <c r="Q20" s="50"/>
      <c r="R20" s="50"/>
    </row>
    <row r="21" spans="1:18" ht="15.75">
      <c r="A21" s="232"/>
      <c r="B21" s="30" t="s">
        <v>142</v>
      </c>
      <c r="C21" s="7"/>
      <c r="D21" s="7"/>
      <c r="E21" s="140" t="s">
        <v>42</v>
      </c>
      <c r="F21" s="205">
        <v>0</v>
      </c>
      <c r="G21" s="133">
        <v>1</v>
      </c>
      <c r="H21" s="141">
        <v>1</v>
      </c>
      <c r="I21" s="152">
        <f t="shared" si="0"/>
        <v>0</v>
      </c>
      <c r="J21" s="152">
        <f t="shared" si="1"/>
        <v>0</v>
      </c>
      <c r="K21" s="5"/>
      <c r="L21" s="50"/>
      <c r="M21" s="201" t="s">
        <v>183</v>
      </c>
      <c r="N21" s="113">
        <f>2000-(N19+N20)</f>
        <v>740</v>
      </c>
      <c r="O21" s="238">
        <f>N21*$O$18</f>
        <v>17.788461538461544</v>
      </c>
      <c r="P21" s="50"/>
      <c r="Q21" s="50"/>
      <c r="R21" s="50"/>
    </row>
    <row r="22" spans="1:18" ht="15.75">
      <c r="A22" s="232"/>
      <c r="B22" s="30" t="s">
        <v>177</v>
      </c>
      <c r="C22" s="7"/>
      <c r="D22" s="7"/>
      <c r="E22" s="239"/>
      <c r="F22" s="240"/>
      <c r="G22" s="241"/>
      <c r="H22" s="242"/>
      <c r="I22" s="157"/>
      <c r="J22" s="157"/>
      <c r="K22" s="5"/>
      <c r="L22" s="50"/>
      <c r="M22" s="164" t="s">
        <v>187</v>
      </c>
      <c r="N22" s="112">
        <f>SUM(N19:N21)</f>
        <v>2000</v>
      </c>
      <c r="O22" s="50"/>
      <c r="P22" s="50"/>
      <c r="Q22" s="50"/>
      <c r="R22" s="50"/>
    </row>
    <row r="23" spans="1:18" ht="15.75">
      <c r="A23" s="232"/>
      <c r="B23" s="6" t="s">
        <v>137</v>
      </c>
      <c r="C23" s="7"/>
      <c r="D23" s="7"/>
      <c r="E23" s="140" t="s">
        <v>41</v>
      </c>
      <c r="F23" s="205">
        <f>(7706+385)/4500</f>
        <v>1.798</v>
      </c>
      <c r="G23" s="133">
        <v>1</v>
      </c>
      <c r="H23" s="141">
        <v>1</v>
      </c>
      <c r="I23" s="152">
        <f>F23*G23*H23*$I$6</f>
        <v>988.9</v>
      </c>
      <c r="J23" s="152">
        <f>F23*G23*(1-H23)*$I$6</f>
        <v>0</v>
      </c>
      <c r="K23" s="5"/>
      <c r="L23" s="50"/>
      <c r="M23" s="164" t="s">
        <v>188</v>
      </c>
      <c r="N23" s="250">
        <v>1100</v>
      </c>
      <c r="O23" s="50"/>
      <c r="P23" s="50"/>
      <c r="Q23" s="50"/>
      <c r="R23" s="50"/>
    </row>
    <row r="24" spans="1:18" ht="15.75">
      <c r="A24" s="232"/>
      <c r="B24" s="6" t="s">
        <v>138</v>
      </c>
      <c r="C24" s="7"/>
      <c r="D24" s="7"/>
      <c r="E24" s="140" t="s">
        <v>41</v>
      </c>
      <c r="F24" s="205">
        <f>(1168)/4500</f>
        <v>0.25955555555555554</v>
      </c>
      <c r="G24" s="133">
        <v>1</v>
      </c>
      <c r="H24" s="141">
        <v>1</v>
      </c>
      <c r="I24" s="152">
        <f>F24*G24*H24*$I$6</f>
        <v>142.75555555555556</v>
      </c>
      <c r="J24" s="152">
        <f>F24*G24*(1-H24)*$I$6</f>
        <v>0</v>
      </c>
      <c r="K24" s="5"/>
      <c r="L24" s="50"/>
      <c r="M24" s="50"/>
      <c r="N24" s="200">
        <f>N23/2000</f>
        <v>0.55</v>
      </c>
      <c r="O24" s="164" t="s">
        <v>189</v>
      </c>
      <c r="P24" s="50"/>
      <c r="Q24" s="50"/>
      <c r="R24" s="50"/>
    </row>
    <row r="25" spans="1:18" ht="15.75">
      <c r="A25" s="232"/>
      <c r="B25" s="30" t="s">
        <v>143</v>
      </c>
      <c r="C25" s="7"/>
      <c r="D25" s="7"/>
      <c r="E25" s="239"/>
      <c r="F25" s="240"/>
      <c r="G25" s="241"/>
      <c r="H25" s="242"/>
      <c r="I25" s="157"/>
      <c r="J25" s="157"/>
      <c r="K25" s="5"/>
      <c r="L25" s="50"/>
      <c r="M25" s="164"/>
      <c r="N25" s="50"/>
      <c r="O25" s="50"/>
      <c r="P25" s="50"/>
      <c r="Q25" s="50"/>
      <c r="R25" s="50"/>
    </row>
    <row r="26" spans="1:18" ht="15.75">
      <c r="A26" s="232"/>
      <c r="B26" s="6" t="s">
        <v>137</v>
      </c>
      <c r="C26" s="7"/>
      <c r="D26" s="7"/>
      <c r="E26" s="140" t="s">
        <v>41</v>
      </c>
      <c r="F26" s="205">
        <f>(2700+135+6738+2166+337+108)/4500</f>
        <v>2.7075555555555555</v>
      </c>
      <c r="G26" s="133">
        <v>1</v>
      </c>
      <c r="H26" s="141">
        <v>1</v>
      </c>
      <c r="I26" s="152">
        <f>F26*G26*H26*$I$6</f>
        <v>1489.1555555555556</v>
      </c>
      <c r="J26" s="152">
        <f>F26*G26*(1-H26)*$I$6</f>
        <v>0</v>
      </c>
      <c r="K26" s="5"/>
      <c r="L26" s="50"/>
      <c r="M26" s="164"/>
      <c r="N26" s="50"/>
      <c r="O26" s="50"/>
      <c r="P26" s="50"/>
      <c r="Q26" s="50"/>
      <c r="R26" s="50"/>
    </row>
    <row r="27" spans="1:18" ht="15.75">
      <c r="A27" s="232"/>
      <c r="B27" s="6" t="s">
        <v>138</v>
      </c>
      <c r="C27" s="7"/>
      <c r="D27" s="7"/>
      <c r="E27" s="140" t="s">
        <v>41</v>
      </c>
      <c r="F27" s="205">
        <f>(4957+2917+804)/4500</f>
        <v>1.9284444444444444</v>
      </c>
      <c r="G27" s="133">
        <v>1</v>
      </c>
      <c r="H27" s="141">
        <v>1</v>
      </c>
      <c r="I27" s="152">
        <f>F27*G27*H27*$I$6</f>
        <v>1060.6444444444444</v>
      </c>
      <c r="J27" s="152">
        <f>F27*G27*(1-H27)*$I$6</f>
        <v>0</v>
      </c>
      <c r="K27" s="5"/>
      <c r="L27" s="50"/>
      <c r="M27" s="164"/>
      <c r="N27" s="116" t="s">
        <v>175</v>
      </c>
      <c r="O27" s="50"/>
      <c r="P27" s="50"/>
      <c r="Q27" s="50"/>
      <c r="R27" s="50"/>
    </row>
    <row r="28" spans="1:18" ht="15.75">
      <c r="A28" s="232"/>
      <c r="B28" s="30" t="s">
        <v>144</v>
      </c>
      <c r="C28" s="7"/>
      <c r="D28" s="7"/>
      <c r="E28" s="239"/>
      <c r="F28" s="240" t="s">
        <v>44</v>
      </c>
      <c r="G28" s="241"/>
      <c r="H28" s="242"/>
      <c r="I28" s="157"/>
      <c r="J28" s="157"/>
      <c r="K28" s="5"/>
      <c r="L28" s="50"/>
      <c r="M28" s="164"/>
      <c r="N28" s="112">
        <f>2000*0.46</f>
        <v>920</v>
      </c>
      <c r="O28" s="50" t="s">
        <v>180</v>
      </c>
      <c r="P28" s="50"/>
      <c r="Q28" s="50"/>
      <c r="R28" s="50"/>
    </row>
    <row r="29" spans="1:18" ht="15.75">
      <c r="A29" s="232"/>
      <c r="B29" s="6" t="s">
        <v>151</v>
      </c>
      <c r="C29" s="7"/>
      <c r="D29" s="7"/>
      <c r="E29" s="140" t="s">
        <v>45</v>
      </c>
      <c r="F29" s="205">
        <v>0</v>
      </c>
      <c r="G29" s="133">
        <v>0</v>
      </c>
      <c r="H29" s="141">
        <v>1</v>
      </c>
      <c r="I29" s="152">
        <f>F29*G29*H29*$I$6</f>
        <v>0</v>
      </c>
      <c r="J29" s="152">
        <f>F29*G29*(1-H29)*$I$6</f>
        <v>0</v>
      </c>
      <c r="K29" s="5"/>
      <c r="L29" s="50"/>
      <c r="M29" s="164"/>
      <c r="N29" s="250">
        <v>600</v>
      </c>
      <c r="O29" s="50" t="s">
        <v>190</v>
      </c>
      <c r="P29" s="50"/>
      <c r="Q29" s="50"/>
      <c r="R29" s="50"/>
    </row>
    <row r="30" spans="1:18" ht="15.75">
      <c r="A30" s="232"/>
      <c r="B30" s="6" t="s">
        <v>152</v>
      </c>
      <c r="C30" s="7"/>
      <c r="D30" s="7"/>
      <c r="E30" s="140" t="s">
        <v>45</v>
      </c>
      <c r="F30" s="205">
        <v>0</v>
      </c>
      <c r="G30" s="133">
        <v>0</v>
      </c>
      <c r="H30" s="141">
        <v>1</v>
      </c>
      <c r="I30" s="152">
        <f>F30*G30*H30*$I$6</f>
        <v>0</v>
      </c>
      <c r="J30" s="152">
        <f>F30*G30*(1-H30)*$I$6</f>
        <v>0</v>
      </c>
      <c r="K30" s="5"/>
      <c r="L30" s="50"/>
      <c r="M30" s="164"/>
      <c r="N30" s="200">
        <f>N29/920</f>
        <v>0.6521739130434783</v>
      </c>
      <c r="O30" s="50" t="s">
        <v>191</v>
      </c>
      <c r="P30" s="50"/>
      <c r="Q30" s="50"/>
      <c r="R30" s="50"/>
    </row>
    <row r="31" spans="1:18" ht="15.75">
      <c r="A31" s="232"/>
      <c r="B31" s="6" t="s">
        <v>153</v>
      </c>
      <c r="C31" s="7"/>
      <c r="D31" s="7"/>
      <c r="E31" s="140" t="s">
        <v>45</v>
      </c>
      <c r="F31" s="205">
        <v>0</v>
      </c>
      <c r="G31" s="133">
        <v>0</v>
      </c>
      <c r="H31" s="161">
        <v>1</v>
      </c>
      <c r="I31" s="165">
        <f>F31*G31*H31*$I$6</f>
        <v>0</v>
      </c>
      <c r="J31" s="166">
        <f>F31*G31*(1-H31)*$I$6</f>
        <v>0</v>
      </c>
      <c r="K31" s="5"/>
      <c r="L31" s="50"/>
      <c r="M31" s="50"/>
      <c r="N31" s="50"/>
      <c r="O31" s="50"/>
      <c r="P31" s="50"/>
      <c r="Q31" s="50"/>
      <c r="R31" s="50"/>
    </row>
    <row r="32" spans="1:18" ht="15.75">
      <c r="A32" s="232"/>
      <c r="B32" s="30" t="s">
        <v>145</v>
      </c>
      <c r="C32" s="7"/>
      <c r="D32" s="7"/>
      <c r="E32" s="158"/>
      <c r="F32" s="207" t="s">
        <v>44</v>
      </c>
      <c r="G32" s="158"/>
      <c r="H32" s="160"/>
      <c r="I32" s="160"/>
      <c r="J32" s="160"/>
      <c r="K32" s="5"/>
      <c r="L32" s="50"/>
      <c r="M32" s="50"/>
      <c r="N32" s="50"/>
      <c r="O32" s="50"/>
      <c r="P32" s="50"/>
      <c r="Q32" s="50"/>
      <c r="R32" s="50"/>
    </row>
    <row r="33" spans="1:18" ht="15.75">
      <c r="A33" s="232"/>
      <c r="B33" s="6" t="s">
        <v>146</v>
      </c>
      <c r="C33" s="7"/>
      <c r="D33" s="7"/>
      <c r="E33" s="140" t="s">
        <v>45</v>
      </c>
      <c r="F33" s="205">
        <v>0</v>
      </c>
      <c r="G33" s="133">
        <v>1</v>
      </c>
      <c r="H33" s="160"/>
      <c r="I33" s="160"/>
      <c r="J33" s="152">
        <f>F33*G33*$I$6</f>
        <v>0</v>
      </c>
      <c r="K33" s="5"/>
      <c r="L33" s="50"/>
      <c r="M33" s="50"/>
      <c r="N33" s="50"/>
      <c r="O33" s="50"/>
      <c r="P33" s="50"/>
      <c r="Q33" s="50"/>
      <c r="R33" s="50"/>
    </row>
    <row r="34" spans="1:18" ht="15.75">
      <c r="A34" s="232"/>
      <c r="B34" s="6" t="s">
        <v>147</v>
      </c>
      <c r="C34" s="7"/>
      <c r="D34" s="7"/>
      <c r="E34" s="140" t="s">
        <v>45</v>
      </c>
      <c r="F34" s="205">
        <v>10</v>
      </c>
      <c r="G34" s="133">
        <v>0.4</v>
      </c>
      <c r="H34" s="160"/>
      <c r="I34" s="159">
        <f>F34*G34*$I$6</f>
        <v>2200</v>
      </c>
      <c r="J34" s="160"/>
      <c r="K34" s="5"/>
      <c r="L34" s="50"/>
      <c r="M34" s="50"/>
      <c r="N34" s="50"/>
      <c r="O34" s="50"/>
      <c r="P34" s="50"/>
      <c r="Q34" s="50"/>
      <c r="R34" s="50"/>
    </row>
    <row r="35" spans="1:18" ht="15.75">
      <c r="A35" s="232"/>
      <c r="B35" s="6" t="s">
        <v>148</v>
      </c>
      <c r="C35" s="7"/>
      <c r="D35" s="7"/>
      <c r="E35" s="140" t="s">
        <v>45</v>
      </c>
      <c r="F35" s="205">
        <v>0</v>
      </c>
      <c r="G35" s="133">
        <v>0.25</v>
      </c>
      <c r="H35" s="160"/>
      <c r="I35" s="159">
        <f>F35*G35*$I$6</f>
        <v>0</v>
      </c>
      <c r="J35" s="160"/>
      <c r="K35" s="5"/>
      <c r="L35" s="50"/>
      <c r="M35" s="50"/>
      <c r="N35" s="50"/>
      <c r="O35" s="50"/>
      <c r="P35" s="50"/>
      <c r="Q35" s="50"/>
      <c r="R35" s="50"/>
    </row>
    <row r="36" spans="1:18" ht="15.75">
      <c r="A36" s="232"/>
      <c r="B36" s="6" t="s">
        <v>149</v>
      </c>
      <c r="C36" s="7"/>
      <c r="D36" s="7"/>
      <c r="E36" s="140" t="s">
        <v>45</v>
      </c>
      <c r="F36" s="205">
        <v>0</v>
      </c>
      <c r="G36" s="133">
        <v>1</v>
      </c>
      <c r="H36" s="160"/>
      <c r="I36" s="159">
        <f>F36*G36*$I$6</f>
        <v>0</v>
      </c>
      <c r="J36" s="160"/>
      <c r="K36" s="5"/>
      <c r="L36" s="50"/>
      <c r="M36" s="50"/>
      <c r="N36" s="50"/>
      <c r="O36" s="50"/>
      <c r="P36" s="50"/>
      <c r="Q36" s="50"/>
      <c r="R36" s="50"/>
    </row>
    <row r="37" spans="1:18" ht="15.75">
      <c r="A37" s="232"/>
      <c r="B37" s="248" t="s">
        <v>164</v>
      </c>
      <c r="C37" s="8"/>
      <c r="D37" s="249"/>
      <c r="E37" s="140" t="s">
        <v>42</v>
      </c>
      <c r="F37" s="205">
        <v>0</v>
      </c>
      <c r="G37" s="133">
        <v>1</v>
      </c>
      <c r="H37" s="141">
        <v>1</v>
      </c>
      <c r="I37" s="152">
        <f>F37*G37*H37*$I$6</f>
        <v>0</v>
      </c>
      <c r="J37" s="152">
        <f>F37*G37*(1-H37)*$I$6</f>
        <v>0</v>
      </c>
      <c r="K37" s="5"/>
      <c r="L37" s="50"/>
      <c r="M37" s="50"/>
      <c r="N37" s="50"/>
      <c r="O37" s="50"/>
      <c r="P37" s="50"/>
      <c r="Q37" s="50"/>
      <c r="R37" s="50"/>
    </row>
    <row r="38" spans="1:18" ht="15.75">
      <c r="A38" s="232"/>
      <c r="B38" s="248" t="s">
        <v>165</v>
      </c>
      <c r="C38" s="8"/>
      <c r="D38" s="249"/>
      <c r="E38" s="140" t="s">
        <v>42</v>
      </c>
      <c r="F38" s="205">
        <v>0</v>
      </c>
      <c r="G38" s="133">
        <v>1</v>
      </c>
      <c r="H38" s="141">
        <v>1</v>
      </c>
      <c r="I38" s="152">
        <f>F38*G38*H38*$I$6</f>
        <v>0</v>
      </c>
      <c r="J38" s="152">
        <f>F38*G38*(1-H38)*$I$6</f>
        <v>0</v>
      </c>
      <c r="K38" s="5"/>
      <c r="L38" s="50"/>
      <c r="M38" s="50"/>
      <c r="N38" s="50"/>
      <c r="O38" s="50"/>
      <c r="P38" s="50"/>
      <c r="Q38" s="50"/>
      <c r="R38" s="50"/>
    </row>
    <row r="39" spans="1:18" ht="15.75">
      <c r="A39" s="232"/>
      <c r="B39" s="30" t="s">
        <v>150</v>
      </c>
      <c r="C39" s="7"/>
      <c r="D39" s="7"/>
      <c r="E39" s="140" t="s">
        <v>46</v>
      </c>
      <c r="F39" s="160"/>
      <c r="G39" s="160"/>
      <c r="H39" s="160"/>
      <c r="I39" s="152">
        <f>(SUM(I12:I31)+I37+I38)*'Revenue&amp;FixedCosts'!$D$17/12*$F$40</f>
        <v>581.6109444444444</v>
      </c>
      <c r="J39" s="152">
        <f>(SUM(J12:J31)+J37+J38)*'Revenue&amp;FixedCosts'!$D$17/12*$F$40</f>
        <v>0</v>
      </c>
      <c r="K39" s="5"/>
      <c r="L39" s="50"/>
      <c r="M39" s="50"/>
      <c r="N39" s="50"/>
      <c r="O39" s="50"/>
      <c r="P39" s="50"/>
      <c r="Q39" s="50"/>
      <c r="R39" s="50"/>
    </row>
    <row r="40" spans="1:18" ht="15.75">
      <c r="A40" s="232"/>
      <c r="B40" s="6" t="s">
        <v>158</v>
      </c>
      <c r="C40" s="7"/>
      <c r="D40" s="7"/>
      <c r="E40" s="160"/>
      <c r="F40" s="133">
        <v>6</v>
      </c>
      <c r="G40" s="160"/>
      <c r="H40" s="160"/>
      <c r="I40" s="162"/>
      <c r="J40" s="163"/>
      <c r="K40" s="5"/>
      <c r="L40" s="50"/>
      <c r="M40" s="50"/>
      <c r="N40" s="50"/>
      <c r="O40" s="50"/>
      <c r="P40" s="50"/>
      <c r="Q40" s="50"/>
      <c r="R40" s="50"/>
    </row>
    <row r="41" spans="1:18" ht="18.75">
      <c r="A41" s="232"/>
      <c r="B41" s="136" t="s">
        <v>160</v>
      </c>
      <c r="C41" s="10"/>
      <c r="D41" s="10"/>
      <c r="E41" s="158"/>
      <c r="F41" s="252"/>
      <c r="G41" s="158"/>
      <c r="H41" s="158"/>
      <c r="I41" s="267" t="s">
        <v>7</v>
      </c>
      <c r="J41" s="268" t="s">
        <v>6</v>
      </c>
      <c r="K41" s="5"/>
      <c r="L41" s="50"/>
      <c r="M41" s="50"/>
      <c r="N41" s="50"/>
      <c r="O41" s="50"/>
      <c r="P41" s="50"/>
      <c r="Q41" s="50"/>
      <c r="R41" s="50"/>
    </row>
    <row r="42" spans="1:18" ht="15.75">
      <c r="A42" s="232"/>
      <c r="B42" s="30" t="s">
        <v>154</v>
      </c>
      <c r="C42" s="7"/>
      <c r="D42" s="7"/>
      <c r="E42" s="239"/>
      <c r="F42" s="243"/>
      <c r="G42" s="241"/>
      <c r="H42" s="242"/>
      <c r="I42" s="157"/>
      <c r="J42" s="157"/>
      <c r="K42" s="5"/>
      <c r="L42" s="50"/>
      <c r="M42" s="50"/>
      <c r="N42" s="50"/>
      <c r="O42" s="50"/>
      <c r="P42" s="50"/>
      <c r="Q42" s="50"/>
      <c r="R42" s="50"/>
    </row>
    <row r="43" spans="1:18" ht="15.75">
      <c r="A43" s="232"/>
      <c r="B43" s="6" t="s">
        <v>137</v>
      </c>
      <c r="C43" s="7"/>
      <c r="D43" s="7"/>
      <c r="E43" s="140" t="s">
        <v>42</v>
      </c>
      <c r="F43" s="205">
        <f>(10808+540)/4500</f>
        <v>2.521777777777778</v>
      </c>
      <c r="G43" s="133">
        <v>1</v>
      </c>
      <c r="H43" s="141">
        <v>1</v>
      </c>
      <c r="I43" s="152">
        <f>F43*G43*H43*$I$6</f>
        <v>1386.9777777777779</v>
      </c>
      <c r="J43" s="152">
        <f>F43*G43*(1-H43)*$I$6</f>
        <v>0</v>
      </c>
      <c r="K43" s="5"/>
      <c r="L43" s="50"/>
      <c r="M43" s="50"/>
      <c r="N43" s="50"/>
      <c r="O43" s="50"/>
      <c r="P43" s="50"/>
      <c r="Q43" s="50"/>
      <c r="R43" s="50"/>
    </row>
    <row r="44" spans="1:18" ht="15.75">
      <c r="A44" s="232"/>
      <c r="B44" s="6" t="s">
        <v>138</v>
      </c>
      <c r="C44" s="7"/>
      <c r="D44" s="7"/>
      <c r="E44" s="140" t="s">
        <v>41</v>
      </c>
      <c r="F44" s="205">
        <f>14800/4500</f>
        <v>3.2888888888888888</v>
      </c>
      <c r="G44" s="133">
        <v>1</v>
      </c>
      <c r="H44" s="141">
        <v>1</v>
      </c>
      <c r="I44" s="152">
        <f>F44*G44*H44*$I$6</f>
        <v>1808.888888888889</v>
      </c>
      <c r="J44" s="152">
        <f>F44*G44*(1-H44)*$I$6</f>
        <v>0</v>
      </c>
      <c r="K44" s="5"/>
      <c r="L44" s="50"/>
      <c r="M44" s="50"/>
      <c r="N44" s="50"/>
      <c r="O44" s="50"/>
      <c r="P44" s="50"/>
      <c r="Q44" s="50"/>
      <c r="R44" s="50"/>
    </row>
    <row r="45" spans="1:18" ht="15.75">
      <c r="A45" s="232"/>
      <c r="B45" s="6" t="s">
        <v>166</v>
      </c>
      <c r="C45" s="7"/>
      <c r="D45" s="7"/>
      <c r="E45" s="140" t="s">
        <v>41</v>
      </c>
      <c r="F45" s="205"/>
      <c r="G45" s="133">
        <v>1</v>
      </c>
      <c r="H45" s="141">
        <v>1</v>
      </c>
      <c r="I45" s="152">
        <f>F45*G45*H45*$I$6</f>
        <v>0</v>
      </c>
      <c r="J45" s="152">
        <f>F45*G45*(1-H45)*$I$6</f>
        <v>0</v>
      </c>
      <c r="K45" s="5"/>
      <c r="L45" s="50"/>
      <c r="M45" s="50"/>
      <c r="N45" s="50"/>
      <c r="O45" s="50"/>
      <c r="P45" s="50"/>
      <c r="Q45" s="50"/>
      <c r="R45" s="50"/>
    </row>
    <row r="46" spans="1:18" ht="15.75">
      <c r="A46" s="232"/>
      <c r="B46" s="30" t="s">
        <v>155</v>
      </c>
      <c r="C46" s="7"/>
      <c r="D46" s="7"/>
      <c r="E46" s="239"/>
      <c r="F46" s="240"/>
      <c r="G46" s="241"/>
      <c r="H46" s="242"/>
      <c r="I46" s="157"/>
      <c r="J46" s="157"/>
      <c r="K46" s="5"/>
      <c r="L46" s="50"/>
      <c r="M46" s="50"/>
      <c r="N46" s="50"/>
      <c r="O46" s="50"/>
      <c r="P46" s="50"/>
      <c r="Q46" s="50"/>
      <c r="R46" s="50"/>
    </row>
    <row r="47" spans="1:18" ht="15.75">
      <c r="A47" s="232"/>
      <c r="B47" s="6" t="s">
        <v>137</v>
      </c>
      <c r="C47" s="7"/>
      <c r="D47" s="7"/>
      <c r="E47" s="140" t="s">
        <v>42</v>
      </c>
      <c r="F47" s="205">
        <f>(8077+9387+337+469)/4500</f>
        <v>4.06</v>
      </c>
      <c r="G47" s="133">
        <v>1</v>
      </c>
      <c r="H47" s="141">
        <v>1</v>
      </c>
      <c r="I47" s="152">
        <f>F47*G47*H47*$I$6</f>
        <v>2233</v>
      </c>
      <c r="J47" s="152">
        <f>F47*G47*(1-H47)*$I$6</f>
        <v>0</v>
      </c>
      <c r="K47" s="5"/>
      <c r="L47" s="50"/>
      <c r="M47" s="50"/>
      <c r="N47" s="50"/>
      <c r="O47" s="50"/>
      <c r="P47" s="50"/>
      <c r="Q47" s="50"/>
      <c r="R47" s="50"/>
    </row>
    <row r="48" spans="1:18" ht="15.75">
      <c r="A48" s="232"/>
      <c r="B48" s="6" t="s">
        <v>138</v>
      </c>
      <c r="C48" s="7"/>
      <c r="D48" s="7"/>
      <c r="E48" s="140" t="s">
        <v>41</v>
      </c>
      <c r="F48" s="205">
        <f>(1750+1426)/4500</f>
        <v>0.7057777777777777</v>
      </c>
      <c r="G48" s="133">
        <v>1</v>
      </c>
      <c r="H48" s="141">
        <v>1</v>
      </c>
      <c r="I48" s="152">
        <f>F48*G48*H48*$I$6</f>
        <v>388.17777777777775</v>
      </c>
      <c r="J48" s="152">
        <f>F48*G48*(1-H48)*$I$6</f>
        <v>0</v>
      </c>
      <c r="K48" s="5"/>
      <c r="L48" s="50"/>
      <c r="M48" s="50"/>
      <c r="N48" s="50"/>
      <c r="O48" s="50"/>
      <c r="P48" s="50"/>
      <c r="Q48" s="50"/>
      <c r="R48" s="50"/>
    </row>
    <row r="49" spans="1:18" ht="15.75">
      <c r="A49" s="232"/>
      <c r="B49" s="6" t="s">
        <v>167</v>
      </c>
      <c r="C49" s="7"/>
      <c r="D49" s="7"/>
      <c r="E49" s="140" t="s">
        <v>41</v>
      </c>
      <c r="F49" s="205"/>
      <c r="G49" s="133">
        <v>1</v>
      </c>
      <c r="H49" s="141">
        <v>1</v>
      </c>
      <c r="I49" s="152">
        <f>F49*G49*H49*$I$6</f>
        <v>0</v>
      </c>
      <c r="J49" s="152">
        <f>F49*G49*(1-H49)*$I$6</f>
        <v>0</v>
      </c>
      <c r="K49" s="5"/>
      <c r="L49" s="50"/>
      <c r="M49" s="50"/>
      <c r="N49" s="50"/>
      <c r="O49" s="50"/>
      <c r="P49" s="50"/>
      <c r="Q49" s="50"/>
      <c r="R49" s="50"/>
    </row>
    <row r="50" spans="1:18" ht="15.75">
      <c r="A50" s="232"/>
      <c r="B50" s="30" t="s">
        <v>156</v>
      </c>
      <c r="C50" s="7"/>
      <c r="D50" s="7"/>
      <c r="E50" s="140" t="s">
        <v>46</v>
      </c>
      <c r="F50" s="160"/>
      <c r="G50" s="160"/>
      <c r="H50" s="160"/>
      <c r="I50" s="153">
        <f>SUM(I43:I49)*'Revenue&amp;FixedCosts'!$D$17/12*$F$51</f>
        <v>33.932759259259264</v>
      </c>
      <c r="J50" s="153">
        <f>SUM(J42:J48)*'Revenue&amp;FixedCosts'!$D$17/12*$F$51</f>
        <v>0</v>
      </c>
      <c r="K50" s="5"/>
      <c r="L50" s="50"/>
      <c r="M50" s="50"/>
      <c r="N50" s="50"/>
      <c r="O50" s="50"/>
      <c r="P50" s="50"/>
      <c r="Q50" s="50"/>
      <c r="R50" s="50"/>
    </row>
    <row r="51" spans="1:18" ht="15.75">
      <c r="A51" s="232"/>
      <c r="B51" s="139" t="s">
        <v>157</v>
      </c>
      <c r="C51" s="7"/>
      <c r="D51" s="7"/>
      <c r="E51" s="160"/>
      <c r="F51" s="133">
        <v>1</v>
      </c>
      <c r="G51" s="160"/>
      <c r="H51" s="162"/>
      <c r="I51" s="162"/>
      <c r="J51" s="163"/>
      <c r="K51" s="5"/>
      <c r="L51" s="50"/>
      <c r="M51" s="50"/>
      <c r="N51" s="50"/>
      <c r="O51" s="50"/>
      <c r="P51" s="50"/>
      <c r="Q51" s="50"/>
      <c r="R51" s="50"/>
    </row>
    <row r="52" spans="1:18" ht="15.75">
      <c r="A52" s="232"/>
      <c r="B52" s="244"/>
      <c r="C52" s="137" t="s">
        <v>118</v>
      </c>
      <c r="D52" s="138" t="str">
        <f>$I$3</f>
        <v>Summer Fallow</v>
      </c>
      <c r="E52" s="138" t="s">
        <v>23</v>
      </c>
      <c r="F52" s="138"/>
      <c r="G52" s="138"/>
      <c r="H52" s="244"/>
      <c r="I52" s="198">
        <f>SUM(I12:I50)</f>
        <v>25250.043703703705</v>
      </c>
      <c r="J52" s="198">
        <f>SUM(J12:J50)</f>
        <v>0</v>
      </c>
      <c r="K52" s="5"/>
      <c r="L52" s="50"/>
      <c r="M52" s="50"/>
      <c r="N52" s="50"/>
      <c r="O52" s="50"/>
      <c r="P52" s="50"/>
      <c r="Q52" s="50"/>
      <c r="R52" s="50"/>
    </row>
    <row r="53" spans="1:18" ht="15.75">
      <c r="A53" s="232"/>
      <c r="B53" s="7"/>
      <c r="C53" s="7"/>
      <c r="D53" s="7"/>
      <c r="E53" s="7"/>
      <c r="F53" s="7"/>
      <c r="G53" s="7"/>
      <c r="H53" s="194" t="s">
        <v>179</v>
      </c>
      <c r="I53" s="195">
        <f>IF(I6=0,0,I52/I6)</f>
        <v>45.90917037037037</v>
      </c>
      <c r="J53" s="197">
        <f>IF(I6=0,0,J52/I6)</f>
        <v>0</v>
      </c>
      <c r="K53" s="1"/>
      <c r="L53" s="50"/>
      <c r="M53" s="50"/>
      <c r="N53" s="50"/>
      <c r="O53" s="50"/>
      <c r="P53" s="50"/>
      <c r="Q53" s="50"/>
      <c r="R53" s="50"/>
    </row>
    <row r="54" spans="1:18" ht="15.75">
      <c r="A54" s="232"/>
      <c r="B54" s="7"/>
      <c r="C54" s="7"/>
      <c r="D54" s="7"/>
      <c r="E54" s="7"/>
      <c r="F54" s="7"/>
      <c r="G54" s="7"/>
      <c r="H54" s="7"/>
      <c r="I54" s="196" t="s">
        <v>178</v>
      </c>
      <c r="J54" s="195">
        <f>I53+J53</f>
        <v>45.90917037037037</v>
      </c>
      <c r="K54" s="1"/>
      <c r="L54" s="50"/>
      <c r="M54" s="50"/>
      <c r="N54" s="50"/>
      <c r="O54" s="50"/>
      <c r="P54" s="50"/>
      <c r="Q54" s="50"/>
      <c r="R54" s="50"/>
    </row>
    <row r="55" spans="1:18" ht="15.75">
      <c r="A55" s="232"/>
      <c r="B55" s="7"/>
      <c r="C55" s="7"/>
      <c r="D55" s="7"/>
      <c r="E55" s="7"/>
      <c r="F55" s="7"/>
      <c r="G55" s="7"/>
      <c r="H55" s="7"/>
      <c r="I55" s="253" t="s">
        <v>198</v>
      </c>
      <c r="J55" s="48" t="str">
        <f>IF(I5=0,"NA",J54/I5)</f>
        <v>NA</v>
      </c>
      <c r="K55" s="1"/>
      <c r="L55" s="50"/>
      <c r="M55" s="50"/>
      <c r="N55" s="50"/>
      <c r="O55" s="50"/>
      <c r="P55" s="50"/>
      <c r="Q55" s="50"/>
      <c r="R55" s="50"/>
    </row>
    <row r="56" spans="1:18" ht="15.75">
      <c r="A56" s="232"/>
      <c r="B56" s="50"/>
      <c r="C56" s="50"/>
      <c r="D56" s="50"/>
      <c r="E56" s="50"/>
      <c r="F56" s="50"/>
      <c r="G56" s="50"/>
      <c r="H56" s="50"/>
      <c r="I56" s="196" t="s">
        <v>227</v>
      </c>
      <c r="J56" s="286">
        <f>I6*J54</f>
        <v>25250.043703703705</v>
      </c>
      <c r="K56" s="50"/>
      <c r="L56" s="50"/>
      <c r="M56" s="50"/>
      <c r="N56" s="50"/>
      <c r="O56" s="50"/>
      <c r="P56" s="50"/>
      <c r="Q56" s="50"/>
      <c r="R56" s="50"/>
    </row>
    <row r="57" spans="1:18" ht="15.75">
      <c r="A57" s="232"/>
      <c r="B57" s="50"/>
      <c r="C57" s="50"/>
      <c r="D57" s="50"/>
      <c r="E57" s="50"/>
      <c r="F57" s="50"/>
      <c r="G57" s="50"/>
      <c r="H57" s="50"/>
      <c r="I57" s="50"/>
      <c r="J57" s="50"/>
      <c r="K57" s="50"/>
      <c r="L57" s="50"/>
      <c r="M57" s="50"/>
      <c r="N57" s="50"/>
      <c r="O57" s="50"/>
      <c r="P57" s="50"/>
      <c r="Q57" s="50"/>
      <c r="R57" s="50"/>
    </row>
    <row r="58" spans="1:18" ht="15.75">
      <c r="A58" s="232"/>
      <c r="B58" s="50"/>
      <c r="C58" s="50"/>
      <c r="D58" s="50"/>
      <c r="E58" s="50"/>
      <c r="F58" s="50"/>
      <c r="G58" s="50"/>
      <c r="H58" s="50"/>
      <c r="I58" s="50"/>
      <c r="J58" s="50"/>
      <c r="K58" s="50"/>
      <c r="L58" s="50"/>
      <c r="M58" s="50"/>
      <c r="N58" s="50"/>
      <c r="O58" s="50"/>
      <c r="P58" s="50"/>
      <c r="Q58" s="50"/>
      <c r="R58" s="50"/>
    </row>
    <row r="59" spans="1:18" ht="15.75">
      <c r="A59" s="232"/>
      <c r="B59" s="50"/>
      <c r="C59" s="50"/>
      <c r="D59" s="50"/>
      <c r="E59" s="50"/>
      <c r="F59" s="50"/>
      <c r="G59" s="50"/>
      <c r="H59" s="50"/>
      <c r="I59" s="50"/>
      <c r="J59" s="50"/>
      <c r="K59" s="50"/>
      <c r="L59" s="50"/>
      <c r="M59" s="50"/>
      <c r="N59" s="50"/>
      <c r="O59" s="50"/>
      <c r="P59" s="50"/>
      <c r="Q59" s="50"/>
      <c r="R59" s="50"/>
    </row>
    <row r="60" spans="1:18" ht="15.75">
      <c r="A60" s="232"/>
      <c r="B60" s="50"/>
      <c r="C60" s="50"/>
      <c r="D60" s="50"/>
      <c r="E60" s="50"/>
      <c r="F60" s="50"/>
      <c r="G60" s="50"/>
      <c r="H60" s="50"/>
      <c r="I60" s="50"/>
      <c r="J60" s="50"/>
      <c r="K60" s="50"/>
      <c r="L60" s="50"/>
      <c r="M60" s="50"/>
      <c r="N60" s="50"/>
      <c r="O60" s="50"/>
      <c r="P60" s="50"/>
      <c r="Q60" s="50"/>
      <c r="R60" s="50"/>
    </row>
    <row r="61" spans="1:18" ht="15.75">
      <c r="A61" s="232"/>
      <c r="B61" s="50"/>
      <c r="C61" s="50"/>
      <c r="D61" s="50"/>
      <c r="E61" s="50"/>
      <c r="F61" s="50"/>
      <c r="G61" s="50"/>
      <c r="H61" s="50"/>
      <c r="I61" s="50"/>
      <c r="J61" s="50"/>
      <c r="K61" s="50"/>
      <c r="L61" s="50"/>
      <c r="M61" s="50"/>
      <c r="N61" s="50"/>
      <c r="O61" s="50"/>
      <c r="P61" s="50"/>
      <c r="Q61" s="50"/>
      <c r="R61" s="50"/>
    </row>
    <row r="62" spans="1:18" ht="15.75">
      <c r="A62" s="232"/>
      <c r="B62" s="50"/>
      <c r="C62" s="50"/>
      <c r="D62" s="50"/>
      <c r="E62" s="50"/>
      <c r="F62" s="50"/>
      <c r="G62" s="50"/>
      <c r="H62" s="50"/>
      <c r="I62" s="50"/>
      <c r="J62" s="50"/>
      <c r="K62" s="50"/>
      <c r="L62" s="50"/>
      <c r="M62" s="50"/>
      <c r="N62" s="50"/>
      <c r="O62" s="50"/>
      <c r="P62" s="50"/>
      <c r="Q62" s="50"/>
      <c r="R62" s="50"/>
    </row>
    <row r="63" spans="1:18" ht="15.75">
      <c r="A63" s="232"/>
      <c r="B63" s="50"/>
      <c r="C63" s="50"/>
      <c r="D63" s="50"/>
      <c r="E63" s="50"/>
      <c r="F63" s="50"/>
      <c r="G63" s="50"/>
      <c r="H63" s="50"/>
      <c r="I63" s="50"/>
      <c r="J63" s="50"/>
      <c r="K63" s="50"/>
      <c r="L63" s="50"/>
      <c r="M63" s="50"/>
      <c r="N63" s="50"/>
      <c r="O63" s="50"/>
      <c r="P63" s="50"/>
      <c r="Q63" s="50"/>
      <c r="R63" s="50"/>
    </row>
    <row r="64" spans="1:18" ht="15.75">
      <c r="A64" s="232"/>
      <c r="B64" s="50"/>
      <c r="C64" s="50"/>
      <c r="D64" s="50"/>
      <c r="E64" s="50"/>
      <c r="F64" s="50"/>
      <c r="G64" s="50"/>
      <c r="H64" s="50"/>
      <c r="I64" s="50"/>
      <c r="J64" s="50"/>
      <c r="K64" s="50"/>
      <c r="L64" s="50"/>
      <c r="M64" s="50"/>
      <c r="N64" s="50"/>
      <c r="O64" s="50"/>
      <c r="P64" s="50"/>
      <c r="Q64" s="50"/>
      <c r="R64" s="50"/>
    </row>
    <row r="65" spans="1:18" ht="15.75">
      <c r="A65" s="232"/>
      <c r="B65" s="50"/>
      <c r="C65" s="50"/>
      <c r="D65" s="50"/>
      <c r="E65" s="50"/>
      <c r="F65" s="50"/>
      <c r="G65" s="50"/>
      <c r="H65" s="50"/>
      <c r="I65" s="50"/>
      <c r="J65" s="50"/>
      <c r="K65" s="50"/>
      <c r="L65" s="50"/>
      <c r="M65" s="50"/>
      <c r="N65" s="50"/>
      <c r="O65" s="50"/>
      <c r="P65" s="50"/>
      <c r="Q65" s="50"/>
      <c r="R65" s="50"/>
    </row>
    <row r="66" spans="1:18" ht="15.75">
      <c r="A66" s="232"/>
      <c r="B66" s="50"/>
      <c r="C66" s="50"/>
      <c r="D66" s="50"/>
      <c r="E66" s="50"/>
      <c r="F66" s="50"/>
      <c r="G66" s="50"/>
      <c r="H66" s="50"/>
      <c r="I66" s="50"/>
      <c r="J66" s="50"/>
      <c r="K66" s="50"/>
      <c r="L66" s="50"/>
      <c r="M66" s="50"/>
      <c r="N66" s="50"/>
      <c r="O66" s="50"/>
      <c r="P66" s="50"/>
      <c r="Q66" s="50"/>
      <c r="R66" s="50"/>
    </row>
    <row r="67" spans="1:18" ht="15.75">
      <c r="A67" s="232"/>
      <c r="B67" s="50"/>
      <c r="C67" s="50"/>
      <c r="D67" s="50"/>
      <c r="E67" s="50"/>
      <c r="F67" s="50"/>
      <c r="G67" s="50"/>
      <c r="H67" s="50"/>
      <c r="I67" s="50"/>
      <c r="J67" s="50"/>
      <c r="K67" s="50"/>
      <c r="L67" s="50"/>
      <c r="M67" s="50"/>
      <c r="N67" s="50"/>
      <c r="O67" s="50"/>
      <c r="P67" s="50"/>
      <c r="Q67" s="50"/>
      <c r="R67" s="50"/>
    </row>
  </sheetData>
  <sheetProtection sheet="1" formatCells="0" formatColumns="0" formatRows="0"/>
  <mergeCells count="6">
    <mergeCell ref="I3:I4"/>
    <mergeCell ref="J3:J4"/>
    <mergeCell ref="E3:E4"/>
    <mergeCell ref="F3:F4"/>
    <mergeCell ref="G3:G4"/>
    <mergeCell ref="H3:H4"/>
  </mergeCells>
  <printOptions/>
  <pageMargins left="0.75" right="0.75" top="1" bottom="1" header="0.5" footer="0.5"/>
  <pageSetup fitToHeight="1" fitToWidth="1" horizontalDpi="300" verticalDpi="300" orientation="portrait" scale="47"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S63"/>
  <sheetViews>
    <sheetView showGridLines="0" zoomScalePageLayoutView="0" workbookViewId="0" topLeftCell="A1">
      <selection activeCell="A1" sqref="A1"/>
    </sheetView>
  </sheetViews>
  <sheetFormatPr defaultColWidth="8.796875" defaultRowHeight="15"/>
  <cols>
    <col min="1" max="1" width="4.09765625" style="120" customWidth="1"/>
    <col min="2" max="4" width="12.69921875" style="0" customWidth="1"/>
    <col min="5" max="10" width="11.69921875" style="0" customWidth="1"/>
  </cols>
  <sheetData>
    <row r="1" spans="1:19" ht="15.75">
      <c r="A1" s="232"/>
      <c r="B1" s="50"/>
      <c r="C1" s="50"/>
      <c r="D1" s="50"/>
      <c r="E1" s="50"/>
      <c r="F1" s="50"/>
      <c r="G1" s="50"/>
      <c r="H1" s="50"/>
      <c r="I1" s="50"/>
      <c r="J1" s="50"/>
      <c r="K1" s="50"/>
      <c r="L1" s="50"/>
      <c r="M1" s="50"/>
      <c r="N1" s="50"/>
      <c r="O1" s="50"/>
      <c r="P1" s="50"/>
      <c r="Q1" s="50"/>
      <c r="R1" s="50"/>
      <c r="S1" s="50"/>
    </row>
    <row r="2" spans="1:19" ht="16.5" thickBot="1">
      <c r="A2" s="232"/>
      <c r="B2" s="50"/>
      <c r="C2" s="50"/>
      <c r="D2" s="50"/>
      <c r="E2" s="208" t="str">
        <f>'Revenue&amp;FixedCosts'!C8</f>
        <v>Crop#1</v>
      </c>
      <c r="F2" s="208" t="str">
        <f>'Revenue&amp;FixedCosts'!D8</f>
        <v>Crop#2</v>
      </c>
      <c r="G2" s="208" t="str">
        <f>'Revenue&amp;FixedCosts'!E8</f>
        <v>Crop#3</v>
      </c>
      <c r="H2" s="208" t="str">
        <f>'Revenue&amp;FixedCosts'!F8</f>
        <v>Crop#4</v>
      </c>
      <c r="I2" s="208" t="str">
        <f>'Revenue&amp;FixedCosts'!G8</f>
        <v>Crop#5</v>
      </c>
      <c r="J2" s="258" t="str">
        <f>'Revenue&amp;FixedCosts'!H8</f>
        <v>Crop#6</v>
      </c>
      <c r="K2" s="50"/>
      <c r="L2" s="50"/>
      <c r="M2" s="50"/>
      <c r="N2" s="50"/>
      <c r="O2" s="50"/>
      <c r="P2" s="50"/>
      <c r="Q2" s="50"/>
      <c r="R2" s="50"/>
      <c r="S2" s="50"/>
    </row>
    <row r="3" spans="1:19" ht="15.75">
      <c r="A3" s="232"/>
      <c r="B3" s="50"/>
      <c r="C3" s="50"/>
      <c r="D3" s="50"/>
      <c r="E3" s="290" t="str">
        <f>'Revenue&amp;FixedCosts'!C9</f>
        <v>Winter Wheat</v>
      </c>
      <c r="F3" s="290" t="str">
        <f>'Revenue&amp;FixedCosts'!D9</f>
        <v>Spring Wheat</v>
      </c>
      <c r="G3" s="290" t="str">
        <f>'Revenue&amp;FixedCosts'!E9</f>
        <v>Durum</v>
      </c>
      <c r="H3" s="290" t="str">
        <f>'Revenue&amp;FixedCosts'!F9</f>
        <v>Malt Barley</v>
      </c>
      <c r="I3" s="290" t="str">
        <f>'Revenue&amp;FixedCosts'!G9</f>
        <v>Summer Fallow</v>
      </c>
      <c r="J3" s="292" t="str">
        <f>'Revenue&amp;FixedCosts'!H9</f>
        <v>Not Used</v>
      </c>
      <c r="K3" s="50"/>
      <c r="L3" s="50"/>
      <c r="M3" s="50"/>
      <c r="N3" s="50"/>
      <c r="O3" s="50"/>
      <c r="P3" s="50"/>
      <c r="Q3" s="50"/>
      <c r="R3" s="50"/>
      <c r="S3" s="50"/>
    </row>
    <row r="4" spans="1:19" ht="15.75">
      <c r="A4" s="232"/>
      <c r="B4" s="50"/>
      <c r="C4" s="50"/>
      <c r="D4" s="50"/>
      <c r="E4" s="291"/>
      <c r="F4" s="291"/>
      <c r="G4" s="291"/>
      <c r="H4" s="291"/>
      <c r="I4" s="291"/>
      <c r="J4" s="293"/>
      <c r="K4" s="50"/>
      <c r="L4" s="50"/>
      <c r="M4" s="50"/>
      <c r="N4" s="50"/>
      <c r="O4" s="50"/>
      <c r="P4" s="50"/>
      <c r="Q4" s="50"/>
      <c r="R4" s="50"/>
      <c r="S4" s="50"/>
    </row>
    <row r="5" spans="1:19" ht="15.75">
      <c r="A5" s="232"/>
      <c r="B5" s="50"/>
      <c r="C5" s="50"/>
      <c r="D5" s="50" t="str">
        <f>'Revenue&amp;FixedCosts'!B12</f>
        <v>Expected Yield</v>
      </c>
      <c r="E5" s="209">
        <f>'Revenue&amp;FixedCosts'!C12</f>
        <v>42</v>
      </c>
      <c r="F5" s="209">
        <f>'Revenue&amp;FixedCosts'!D12</f>
        <v>28</v>
      </c>
      <c r="G5" s="209">
        <f>'Revenue&amp;FixedCosts'!E12</f>
        <v>22</v>
      </c>
      <c r="H5" s="209">
        <f>'Revenue&amp;FixedCosts'!F12</f>
        <v>52</v>
      </c>
      <c r="I5" s="209">
        <f>'Revenue&amp;FixedCosts'!G12</f>
        <v>0</v>
      </c>
      <c r="J5" s="259">
        <f>'Revenue&amp;FixedCosts'!H12</f>
        <v>0</v>
      </c>
      <c r="K5" s="50"/>
      <c r="L5" s="50"/>
      <c r="M5" s="50"/>
      <c r="N5" s="50"/>
      <c r="O5" s="50"/>
      <c r="P5" s="50"/>
      <c r="Q5" s="50"/>
      <c r="R5" s="50"/>
      <c r="S5" s="50"/>
    </row>
    <row r="6" spans="1:19" ht="15.75">
      <c r="A6" s="232"/>
      <c r="B6" s="7" t="s">
        <v>124</v>
      </c>
      <c r="C6" s="7"/>
      <c r="D6" s="50" t="s">
        <v>199</v>
      </c>
      <c r="E6" s="209">
        <f>'Revenue&amp;FixedCosts'!C11</f>
        <v>400</v>
      </c>
      <c r="F6" s="209">
        <f>'Revenue&amp;FixedCosts'!D11</f>
        <v>750</v>
      </c>
      <c r="G6" s="209">
        <f>'Revenue&amp;FixedCosts'!E11</f>
        <v>500</v>
      </c>
      <c r="H6" s="209">
        <f>'Revenue&amp;FixedCosts'!F11</f>
        <v>300</v>
      </c>
      <c r="I6" s="209">
        <f>'Revenue&amp;FixedCosts'!G11</f>
        <v>550</v>
      </c>
      <c r="J6" s="260">
        <f>'Revenue&amp;FixedCosts'!$H$11</f>
        <v>0</v>
      </c>
      <c r="K6" s="1"/>
      <c r="L6" s="50"/>
      <c r="M6" s="50"/>
      <c r="N6" s="50"/>
      <c r="O6" s="50"/>
      <c r="P6" s="50"/>
      <c r="Q6" s="50"/>
      <c r="R6" s="50"/>
      <c r="S6" s="50"/>
    </row>
    <row r="7" spans="1:19" ht="18.75">
      <c r="A7" s="232"/>
      <c r="B7" s="41" t="str">
        <f>'Revenue&amp;FixedCosts'!$H$9</f>
        <v>Not Used</v>
      </c>
      <c r="C7" s="50"/>
      <c r="E7" s="18" t="s">
        <v>51</v>
      </c>
      <c r="F7" s="10"/>
      <c r="G7" s="10"/>
      <c r="H7" s="10"/>
      <c r="I7" s="10"/>
      <c r="J7" s="10"/>
      <c r="K7" s="5"/>
      <c r="L7" s="50"/>
      <c r="M7" s="50"/>
      <c r="N7" s="50"/>
      <c r="O7" s="50"/>
      <c r="P7" s="50"/>
      <c r="Q7" s="50"/>
      <c r="R7" s="50"/>
      <c r="S7" s="50"/>
    </row>
    <row r="8" spans="1:19" ht="15" customHeight="1">
      <c r="A8" s="232"/>
      <c r="B8" s="10"/>
      <c r="C8" s="10"/>
      <c r="D8" s="10"/>
      <c r="E8" s="11"/>
      <c r="F8" s="14" t="s">
        <v>35</v>
      </c>
      <c r="G8" s="15" t="s">
        <v>36</v>
      </c>
      <c r="H8" s="15" t="s">
        <v>2</v>
      </c>
      <c r="I8" s="15" t="s">
        <v>3</v>
      </c>
      <c r="J8" s="15" t="s">
        <v>3</v>
      </c>
      <c r="K8" s="5"/>
      <c r="L8" s="50"/>
      <c r="M8" s="50"/>
      <c r="N8" s="50"/>
      <c r="O8" s="50"/>
      <c r="P8" s="50"/>
      <c r="Q8" s="50"/>
      <c r="R8" s="50"/>
      <c r="S8" s="50"/>
    </row>
    <row r="9" spans="1:19" ht="15" customHeight="1">
      <c r="A9" s="232"/>
      <c r="B9" s="7"/>
      <c r="C9" s="7"/>
      <c r="D9" s="7"/>
      <c r="E9" s="12"/>
      <c r="F9" s="13" t="s">
        <v>37</v>
      </c>
      <c r="G9" s="9" t="s">
        <v>37</v>
      </c>
      <c r="H9" s="9" t="s">
        <v>7</v>
      </c>
      <c r="I9" s="265" t="s">
        <v>7</v>
      </c>
      <c r="J9" s="266" t="s">
        <v>6</v>
      </c>
      <c r="K9" s="5"/>
      <c r="L9" s="50"/>
      <c r="M9" s="50"/>
      <c r="N9" s="50"/>
      <c r="O9" s="50"/>
      <c r="P9" s="50"/>
      <c r="Q9" s="50"/>
      <c r="R9" s="50"/>
      <c r="S9" s="50"/>
    </row>
    <row r="10" spans="1:19" ht="15" customHeight="1">
      <c r="A10" s="232"/>
      <c r="B10" s="41" t="s">
        <v>159</v>
      </c>
      <c r="C10" s="7"/>
      <c r="D10" s="7"/>
      <c r="E10" s="19" t="s">
        <v>38</v>
      </c>
      <c r="F10" s="13" t="s">
        <v>39</v>
      </c>
      <c r="G10" s="9" t="s">
        <v>39</v>
      </c>
      <c r="H10" s="9" t="s">
        <v>9</v>
      </c>
      <c r="I10" s="9" t="s">
        <v>9</v>
      </c>
      <c r="J10" s="9" t="s">
        <v>9</v>
      </c>
      <c r="K10" s="5"/>
      <c r="L10" s="50"/>
      <c r="M10" s="50"/>
      <c r="N10" s="50"/>
      <c r="O10" s="50"/>
      <c r="P10" s="50"/>
      <c r="Q10" s="50"/>
      <c r="R10" s="50"/>
      <c r="S10" s="50"/>
    </row>
    <row r="11" spans="1:19" ht="15.75">
      <c r="A11" s="232"/>
      <c r="B11" s="10"/>
      <c r="C11" s="10"/>
      <c r="D11" s="10"/>
      <c r="E11" s="158"/>
      <c r="F11" s="158"/>
      <c r="G11" s="158"/>
      <c r="H11" s="158"/>
      <c r="I11" s="158"/>
      <c r="J11" s="158"/>
      <c r="K11" s="5"/>
      <c r="L11" s="50"/>
      <c r="M11" s="50"/>
      <c r="N11" s="50"/>
      <c r="O11" s="50"/>
      <c r="P11" s="50"/>
      <c r="Q11" s="50"/>
      <c r="R11" s="50"/>
      <c r="S11" s="50"/>
    </row>
    <row r="12" spans="1:19" ht="15.75">
      <c r="A12" s="232"/>
      <c r="B12" s="30" t="s">
        <v>139</v>
      </c>
      <c r="C12" s="7"/>
      <c r="D12" s="7"/>
      <c r="E12" s="140" t="s">
        <v>40</v>
      </c>
      <c r="F12" s="205">
        <v>0</v>
      </c>
      <c r="G12" s="133">
        <v>1</v>
      </c>
      <c r="H12" s="141">
        <v>1</v>
      </c>
      <c r="I12" s="152">
        <f aca="true" t="shared" si="0" ref="I12:I21">F12*G12*H12*$J$6</f>
        <v>0</v>
      </c>
      <c r="J12" s="152">
        <f aca="true" t="shared" si="1" ref="J12:J21">F12*G12*(1-H12)*$J$6</f>
        <v>0</v>
      </c>
      <c r="K12" s="5"/>
      <c r="L12" s="50"/>
      <c r="M12" s="50"/>
      <c r="N12" s="50"/>
      <c r="O12" s="50"/>
      <c r="P12" s="50"/>
      <c r="Q12" s="50"/>
      <c r="R12" s="50"/>
      <c r="S12" s="50"/>
    </row>
    <row r="13" spans="1:19" ht="15.75">
      <c r="A13" s="232"/>
      <c r="B13" s="30" t="s">
        <v>140</v>
      </c>
      <c r="C13" s="21"/>
      <c r="D13" s="233"/>
      <c r="E13" s="140" t="s">
        <v>41</v>
      </c>
      <c r="F13" s="205">
        <v>0</v>
      </c>
      <c r="G13" s="133">
        <v>1</v>
      </c>
      <c r="H13" s="141">
        <v>1</v>
      </c>
      <c r="I13" s="152">
        <f t="shared" si="0"/>
        <v>0</v>
      </c>
      <c r="J13" s="152">
        <f t="shared" si="1"/>
        <v>0</v>
      </c>
      <c r="K13" s="5"/>
      <c r="L13" s="50"/>
      <c r="M13" s="50"/>
      <c r="N13" s="50"/>
      <c r="O13" s="50"/>
      <c r="P13" s="50"/>
      <c r="Q13" s="50"/>
      <c r="R13" s="50"/>
      <c r="S13" s="50"/>
    </row>
    <row r="14" spans="1:19" ht="15.75">
      <c r="A14" s="232"/>
      <c r="B14" s="202"/>
      <c r="C14" s="203"/>
      <c r="D14" s="8"/>
      <c r="E14" s="140" t="s">
        <v>41</v>
      </c>
      <c r="F14" s="205">
        <v>0</v>
      </c>
      <c r="G14" s="133">
        <v>1</v>
      </c>
      <c r="H14" s="141">
        <v>1</v>
      </c>
      <c r="I14" s="152">
        <f t="shared" si="0"/>
        <v>0</v>
      </c>
      <c r="J14" s="152">
        <f t="shared" si="1"/>
        <v>0</v>
      </c>
      <c r="K14" s="5"/>
      <c r="L14" s="50"/>
      <c r="M14" s="50"/>
      <c r="N14" s="50"/>
      <c r="O14" s="50"/>
      <c r="P14" s="50"/>
      <c r="Q14" s="50"/>
      <c r="R14" s="50"/>
      <c r="S14" s="50"/>
    </row>
    <row r="15" spans="1:19" ht="15.75">
      <c r="A15" s="232"/>
      <c r="B15" s="202"/>
      <c r="C15" s="203"/>
      <c r="D15" s="8"/>
      <c r="E15" s="140" t="s">
        <v>41</v>
      </c>
      <c r="F15" s="205">
        <v>0</v>
      </c>
      <c r="G15" s="133">
        <v>1</v>
      </c>
      <c r="H15" s="141">
        <v>1</v>
      </c>
      <c r="I15" s="152">
        <f t="shared" si="0"/>
        <v>0</v>
      </c>
      <c r="J15" s="152">
        <f t="shared" si="1"/>
        <v>0</v>
      </c>
      <c r="K15" s="5"/>
      <c r="L15" s="50"/>
      <c r="M15" s="164"/>
      <c r="N15" s="50"/>
      <c r="O15" s="50"/>
      <c r="P15" s="234" t="s">
        <v>184</v>
      </c>
      <c r="Q15" s="50"/>
      <c r="R15" s="50"/>
      <c r="S15" s="50"/>
    </row>
    <row r="16" spans="1:19" ht="15.75">
      <c r="A16" s="232"/>
      <c r="B16" s="30" t="s">
        <v>162</v>
      </c>
      <c r="C16" s="7"/>
      <c r="D16" s="21"/>
      <c r="E16" s="140" t="s">
        <v>42</v>
      </c>
      <c r="F16" s="205">
        <v>0</v>
      </c>
      <c r="G16" s="133">
        <v>1</v>
      </c>
      <c r="H16" s="141">
        <v>1</v>
      </c>
      <c r="I16" s="152">
        <f t="shared" si="0"/>
        <v>0</v>
      </c>
      <c r="J16" s="152">
        <f t="shared" si="1"/>
        <v>0</v>
      </c>
      <c r="K16" s="5"/>
      <c r="L16" s="50"/>
      <c r="M16" s="164"/>
      <c r="N16" s="50"/>
      <c r="O16" s="50"/>
      <c r="P16" s="235" t="s">
        <v>185</v>
      </c>
      <c r="Q16" s="50"/>
      <c r="R16" s="50"/>
      <c r="S16" s="50"/>
    </row>
    <row r="17" spans="1:19" ht="15.75">
      <c r="A17" s="232"/>
      <c r="B17" s="30" t="s">
        <v>141</v>
      </c>
      <c r="C17" s="21"/>
      <c r="D17" s="233"/>
      <c r="E17" s="140" t="s">
        <v>43</v>
      </c>
      <c r="F17" s="205">
        <v>0</v>
      </c>
      <c r="G17" s="133">
        <v>0</v>
      </c>
      <c r="H17" s="141">
        <v>0</v>
      </c>
      <c r="I17" s="152">
        <f t="shared" si="0"/>
        <v>0</v>
      </c>
      <c r="J17" s="152">
        <f t="shared" si="1"/>
        <v>0</v>
      </c>
      <c r="K17" s="5"/>
      <c r="L17" s="50"/>
      <c r="M17" s="164"/>
      <c r="N17" s="50"/>
      <c r="O17" s="50"/>
      <c r="P17" s="236" t="s">
        <v>186</v>
      </c>
      <c r="Q17" s="50"/>
      <c r="R17" s="50"/>
      <c r="S17" s="50"/>
    </row>
    <row r="18" spans="1:19" ht="15.75">
      <c r="A18" s="232"/>
      <c r="B18" s="202"/>
      <c r="C18" s="203" t="s">
        <v>176</v>
      </c>
      <c r="D18" s="20"/>
      <c r="E18" s="140" t="s">
        <v>43</v>
      </c>
      <c r="F18" s="205">
        <v>0</v>
      </c>
      <c r="G18" s="133">
        <v>0</v>
      </c>
      <c r="H18" s="141">
        <v>0</v>
      </c>
      <c r="I18" s="152">
        <f t="shared" si="0"/>
        <v>0</v>
      </c>
      <c r="J18" s="152">
        <f t="shared" si="1"/>
        <v>0</v>
      </c>
      <c r="K18" s="5"/>
      <c r="L18" s="50"/>
      <c r="M18" s="164"/>
      <c r="N18" s="199" t="s">
        <v>176</v>
      </c>
      <c r="O18" s="251">
        <v>0.024038461538461543</v>
      </c>
      <c r="P18" s="237">
        <f>2000*O18</f>
        <v>48.07692307692309</v>
      </c>
      <c r="Q18" s="50"/>
      <c r="R18" s="50"/>
      <c r="S18" s="50"/>
    </row>
    <row r="19" spans="1:19" ht="15.75">
      <c r="A19" s="232"/>
      <c r="B19" s="202"/>
      <c r="C19" s="203" t="s">
        <v>175</v>
      </c>
      <c r="D19" s="8"/>
      <c r="E19" s="140" t="s">
        <v>43</v>
      </c>
      <c r="F19" s="205">
        <v>0</v>
      </c>
      <c r="G19" s="133">
        <v>0</v>
      </c>
      <c r="H19" s="141">
        <v>0</v>
      </c>
      <c r="I19" s="152">
        <f t="shared" si="0"/>
        <v>0</v>
      </c>
      <c r="J19" s="152">
        <f t="shared" si="1"/>
        <v>0</v>
      </c>
      <c r="K19" s="5"/>
      <c r="L19" s="50"/>
      <c r="M19" s="164" t="s">
        <v>181</v>
      </c>
      <c r="N19" s="112">
        <f>2000*0.11</f>
        <v>220</v>
      </c>
      <c r="O19" s="238">
        <f>N19*$O$18</f>
        <v>5.288461538461539</v>
      </c>
      <c r="P19" s="50"/>
      <c r="Q19" s="50"/>
      <c r="R19" s="50"/>
      <c r="S19" s="50"/>
    </row>
    <row r="20" spans="1:19" ht="15.75">
      <c r="A20" s="232"/>
      <c r="B20" s="30" t="s">
        <v>163</v>
      </c>
      <c r="C20" s="7"/>
      <c r="D20" s="7"/>
      <c r="E20" s="140" t="s">
        <v>42</v>
      </c>
      <c r="F20" s="205">
        <v>0</v>
      </c>
      <c r="G20" s="133">
        <v>1</v>
      </c>
      <c r="H20" s="141">
        <v>1</v>
      </c>
      <c r="I20" s="152">
        <f t="shared" si="0"/>
        <v>0</v>
      </c>
      <c r="J20" s="152">
        <f t="shared" si="1"/>
        <v>0</v>
      </c>
      <c r="K20" s="5"/>
      <c r="L20" s="50"/>
      <c r="M20" s="164" t="s">
        <v>182</v>
      </c>
      <c r="N20" s="112">
        <f>2000*0.52</f>
        <v>1040</v>
      </c>
      <c r="O20" s="238">
        <f>N20*$O$18</f>
        <v>25.000000000000004</v>
      </c>
      <c r="P20" s="50"/>
      <c r="Q20" s="50"/>
      <c r="R20" s="50"/>
      <c r="S20" s="50"/>
    </row>
    <row r="21" spans="1:19" ht="15.75">
      <c r="A21" s="232"/>
      <c r="B21" s="30" t="s">
        <v>142</v>
      </c>
      <c r="C21" s="7"/>
      <c r="D21" s="7"/>
      <c r="E21" s="140" t="s">
        <v>42</v>
      </c>
      <c r="F21" s="205">
        <v>0</v>
      </c>
      <c r="G21" s="133">
        <v>1</v>
      </c>
      <c r="H21" s="141">
        <v>1</v>
      </c>
      <c r="I21" s="152">
        <f t="shared" si="0"/>
        <v>0</v>
      </c>
      <c r="J21" s="152">
        <f t="shared" si="1"/>
        <v>0</v>
      </c>
      <c r="K21" s="5"/>
      <c r="L21" s="50"/>
      <c r="M21" s="201" t="s">
        <v>183</v>
      </c>
      <c r="N21" s="113">
        <f>2000-(N19+N20)</f>
        <v>740</v>
      </c>
      <c r="O21" s="238">
        <f>N21*$O$18</f>
        <v>17.788461538461544</v>
      </c>
      <c r="P21" s="50"/>
      <c r="Q21" s="50"/>
      <c r="R21" s="50"/>
      <c r="S21" s="50"/>
    </row>
    <row r="22" spans="1:19" ht="15.75">
      <c r="A22" s="232"/>
      <c r="B22" s="30" t="s">
        <v>177</v>
      </c>
      <c r="C22" s="7"/>
      <c r="D22" s="7"/>
      <c r="E22" s="239"/>
      <c r="F22" s="240"/>
      <c r="G22" s="241"/>
      <c r="H22" s="242"/>
      <c r="I22" s="157"/>
      <c r="J22" s="157"/>
      <c r="K22" s="5"/>
      <c r="L22" s="50"/>
      <c r="M22" s="164" t="s">
        <v>187</v>
      </c>
      <c r="N22" s="112">
        <f>SUM(N19:N21)</f>
        <v>2000</v>
      </c>
      <c r="O22" s="50"/>
      <c r="P22" s="50"/>
      <c r="Q22" s="50"/>
      <c r="R22" s="50"/>
      <c r="S22" s="50"/>
    </row>
    <row r="23" spans="1:19" ht="15.75">
      <c r="A23" s="232"/>
      <c r="B23" s="6" t="s">
        <v>137</v>
      </c>
      <c r="C23" s="7"/>
      <c r="D23" s="7"/>
      <c r="E23" s="140" t="s">
        <v>41</v>
      </c>
      <c r="F23" s="205">
        <f>(7706+6652+2221+385+333+111)/4500</f>
        <v>3.8684444444444446</v>
      </c>
      <c r="G23" s="133">
        <v>1</v>
      </c>
      <c r="H23" s="141">
        <v>1</v>
      </c>
      <c r="I23" s="152">
        <f>F23*G23*H23*$J$6</f>
        <v>0</v>
      </c>
      <c r="J23" s="152">
        <f>F23*G23*(1-H23)*$J$6</f>
        <v>0</v>
      </c>
      <c r="K23" s="5"/>
      <c r="L23" s="50"/>
      <c r="M23" s="164" t="s">
        <v>188</v>
      </c>
      <c r="N23" s="250">
        <v>1100</v>
      </c>
      <c r="O23" s="50"/>
      <c r="P23" s="50"/>
      <c r="Q23" s="50"/>
      <c r="R23" s="50"/>
      <c r="S23" s="50"/>
    </row>
    <row r="24" spans="1:19" ht="15.75">
      <c r="A24" s="232"/>
      <c r="B24" s="6" t="s">
        <v>138</v>
      </c>
      <c r="C24" s="7"/>
      <c r="D24" s="7"/>
      <c r="E24" s="140" t="s">
        <v>41</v>
      </c>
      <c r="F24" s="205">
        <f>(1168+1911+947+1425)/4500</f>
        <v>1.2113333333333334</v>
      </c>
      <c r="G24" s="133">
        <v>1</v>
      </c>
      <c r="H24" s="141">
        <v>1</v>
      </c>
      <c r="I24" s="152">
        <f>F24*G24*H24*$J$6</f>
        <v>0</v>
      </c>
      <c r="J24" s="152">
        <f>F24*G24*(1-H24)*$J$6</f>
        <v>0</v>
      </c>
      <c r="K24" s="5"/>
      <c r="L24" s="50"/>
      <c r="M24" s="50"/>
      <c r="N24" s="200">
        <f>N23/2000</f>
        <v>0.55</v>
      </c>
      <c r="O24" s="164" t="s">
        <v>189</v>
      </c>
      <c r="P24" s="50"/>
      <c r="Q24" s="50"/>
      <c r="R24" s="50"/>
      <c r="S24" s="50"/>
    </row>
    <row r="25" spans="1:19" ht="15.75">
      <c r="A25" s="232"/>
      <c r="B25" s="30" t="s">
        <v>143</v>
      </c>
      <c r="C25" s="7"/>
      <c r="D25" s="7"/>
      <c r="E25" s="239"/>
      <c r="F25" s="240"/>
      <c r="G25" s="241"/>
      <c r="H25" s="242"/>
      <c r="I25" s="157"/>
      <c r="J25" s="157"/>
      <c r="K25" s="5"/>
      <c r="L25" s="50"/>
      <c r="M25" s="164"/>
      <c r="N25" s="50"/>
      <c r="O25" s="50"/>
      <c r="P25" s="50"/>
      <c r="Q25" s="50"/>
      <c r="R25" s="50"/>
      <c r="S25" s="50"/>
    </row>
    <row r="26" spans="1:19" ht="15.75">
      <c r="A26" s="232"/>
      <c r="B26" s="6" t="s">
        <v>137</v>
      </c>
      <c r="C26" s="7"/>
      <c r="D26" s="7"/>
      <c r="E26" s="140" t="s">
        <v>41</v>
      </c>
      <c r="F26" s="205">
        <f>(2700+135+6738+2166+337+108)/4500</f>
        <v>2.7075555555555555</v>
      </c>
      <c r="G26" s="133">
        <v>1</v>
      </c>
      <c r="H26" s="141">
        <v>1</v>
      </c>
      <c r="I26" s="152">
        <f>F26*G26*H26*$J$6</f>
        <v>0</v>
      </c>
      <c r="J26" s="152">
        <f>F26*G26*(1-H26)*$J$6</f>
        <v>0</v>
      </c>
      <c r="K26" s="5"/>
      <c r="L26" s="50"/>
      <c r="M26" s="164"/>
      <c r="N26" s="50"/>
      <c r="O26" s="50"/>
      <c r="P26" s="50"/>
      <c r="Q26" s="50"/>
      <c r="R26" s="50"/>
      <c r="S26" s="50"/>
    </row>
    <row r="27" spans="1:19" ht="15.75">
      <c r="A27" s="232"/>
      <c r="B27" s="6" t="s">
        <v>138</v>
      </c>
      <c r="C27" s="7"/>
      <c r="D27" s="7"/>
      <c r="E27" s="140" t="s">
        <v>41</v>
      </c>
      <c r="F27" s="205">
        <f>(4957+7643+2917+804)/4500</f>
        <v>3.626888888888889</v>
      </c>
      <c r="G27" s="133">
        <v>1</v>
      </c>
      <c r="H27" s="141">
        <v>1</v>
      </c>
      <c r="I27" s="152">
        <f>F27*G27*H27*$J$6</f>
        <v>0</v>
      </c>
      <c r="J27" s="152">
        <f>F27*G27*(1-H27)*$J$6</f>
        <v>0</v>
      </c>
      <c r="K27" s="5"/>
      <c r="L27" s="50"/>
      <c r="M27" s="164"/>
      <c r="N27" s="116" t="s">
        <v>175</v>
      </c>
      <c r="O27" s="50"/>
      <c r="P27" s="50"/>
      <c r="Q27" s="50"/>
      <c r="R27" s="50"/>
      <c r="S27" s="50"/>
    </row>
    <row r="28" spans="1:19" ht="15.75">
      <c r="A28" s="232"/>
      <c r="B28" s="30" t="s">
        <v>144</v>
      </c>
      <c r="C28" s="7"/>
      <c r="D28" s="7"/>
      <c r="E28" s="239"/>
      <c r="F28" s="240" t="s">
        <v>44</v>
      </c>
      <c r="G28" s="241"/>
      <c r="H28" s="242"/>
      <c r="I28" s="157"/>
      <c r="J28" s="157"/>
      <c r="K28" s="5"/>
      <c r="L28" s="50"/>
      <c r="M28" s="164"/>
      <c r="N28" s="112">
        <f>2000*0.46</f>
        <v>920</v>
      </c>
      <c r="O28" s="50" t="s">
        <v>180</v>
      </c>
      <c r="P28" s="50"/>
      <c r="Q28" s="50"/>
      <c r="R28" s="50"/>
      <c r="S28" s="50"/>
    </row>
    <row r="29" spans="1:19" ht="15.75">
      <c r="A29" s="232"/>
      <c r="B29" s="6" t="s">
        <v>151</v>
      </c>
      <c r="C29" s="7"/>
      <c r="D29" s="7"/>
      <c r="E29" s="140" t="s">
        <v>45</v>
      </c>
      <c r="F29" s="205">
        <v>0</v>
      </c>
      <c r="G29" s="133">
        <v>0</v>
      </c>
      <c r="H29" s="141">
        <v>1</v>
      </c>
      <c r="I29" s="152">
        <f>F29*G29*H29*$J$6</f>
        <v>0</v>
      </c>
      <c r="J29" s="152">
        <f>F29*G29*(1-H29)*$J$6</f>
        <v>0</v>
      </c>
      <c r="K29" s="5"/>
      <c r="L29" s="50"/>
      <c r="M29" s="164"/>
      <c r="N29" s="250">
        <v>600</v>
      </c>
      <c r="O29" s="50" t="s">
        <v>190</v>
      </c>
      <c r="P29" s="50"/>
      <c r="Q29" s="50"/>
      <c r="R29" s="50"/>
      <c r="S29" s="50"/>
    </row>
    <row r="30" spans="1:19" ht="15.75">
      <c r="A30" s="232"/>
      <c r="B30" s="6" t="s">
        <v>152</v>
      </c>
      <c r="C30" s="7"/>
      <c r="D30" s="7"/>
      <c r="E30" s="140" t="s">
        <v>45</v>
      </c>
      <c r="F30" s="205">
        <v>0</v>
      </c>
      <c r="G30" s="133">
        <v>0</v>
      </c>
      <c r="H30" s="141">
        <v>1</v>
      </c>
      <c r="I30" s="152">
        <f>F30*G30*H30*$J$6</f>
        <v>0</v>
      </c>
      <c r="J30" s="152">
        <f>F30*G30*(1-H30)*$J$6</f>
        <v>0</v>
      </c>
      <c r="K30" s="5"/>
      <c r="L30" s="50"/>
      <c r="M30" s="164"/>
      <c r="N30" s="200">
        <f>N29/920</f>
        <v>0.6521739130434783</v>
      </c>
      <c r="O30" s="50" t="s">
        <v>191</v>
      </c>
      <c r="P30" s="50"/>
      <c r="Q30" s="50"/>
      <c r="R30" s="50"/>
      <c r="S30" s="50"/>
    </row>
    <row r="31" spans="1:19" ht="15.75">
      <c r="A31" s="232"/>
      <c r="B31" s="6" t="s">
        <v>153</v>
      </c>
      <c r="C31" s="7"/>
      <c r="D31" s="7"/>
      <c r="E31" s="140" t="s">
        <v>45</v>
      </c>
      <c r="F31" s="205">
        <v>0</v>
      </c>
      <c r="G31" s="133">
        <v>0</v>
      </c>
      <c r="H31" s="161">
        <v>1</v>
      </c>
      <c r="I31" s="165">
        <f>F31*G31*H31*$J$6</f>
        <v>0</v>
      </c>
      <c r="J31" s="166">
        <f>F31*G31*(1-H31)*$J$6</f>
        <v>0</v>
      </c>
      <c r="K31" s="5"/>
      <c r="L31" s="50"/>
      <c r="M31" s="50"/>
      <c r="N31" s="50"/>
      <c r="O31" s="50"/>
      <c r="P31" s="50"/>
      <c r="Q31" s="50"/>
      <c r="R31" s="50"/>
      <c r="S31" s="50"/>
    </row>
    <row r="32" spans="1:19" ht="15.75">
      <c r="A32" s="232"/>
      <c r="B32" s="30" t="s">
        <v>145</v>
      </c>
      <c r="C32" s="7"/>
      <c r="D32" s="7"/>
      <c r="E32" s="158"/>
      <c r="F32" s="207" t="s">
        <v>44</v>
      </c>
      <c r="G32" s="158"/>
      <c r="H32" s="160"/>
      <c r="I32" s="160"/>
      <c r="J32" s="160"/>
      <c r="K32" s="5"/>
      <c r="L32" s="50"/>
      <c r="M32" s="50"/>
      <c r="N32" s="50"/>
      <c r="O32" s="50"/>
      <c r="P32" s="50"/>
      <c r="Q32" s="50"/>
      <c r="R32" s="50"/>
      <c r="S32" s="50"/>
    </row>
    <row r="33" spans="1:19" ht="15.75">
      <c r="A33" s="232"/>
      <c r="B33" s="6" t="s">
        <v>146</v>
      </c>
      <c r="C33" s="7"/>
      <c r="D33" s="7"/>
      <c r="E33" s="140" t="s">
        <v>45</v>
      </c>
      <c r="F33" s="205">
        <v>0</v>
      </c>
      <c r="G33" s="133">
        <v>1</v>
      </c>
      <c r="H33" s="160"/>
      <c r="I33" s="160"/>
      <c r="J33" s="152">
        <f>F33*G33*$J$6</f>
        <v>0</v>
      </c>
      <c r="K33" s="5"/>
      <c r="L33" s="50"/>
      <c r="M33" s="50"/>
      <c r="N33" s="50"/>
      <c r="O33" s="50"/>
      <c r="P33" s="50"/>
      <c r="Q33" s="50"/>
      <c r="R33" s="50"/>
      <c r="S33" s="50"/>
    </row>
    <row r="34" spans="1:19" ht="15.75">
      <c r="A34" s="232"/>
      <c r="B34" s="6" t="s">
        <v>147</v>
      </c>
      <c r="C34" s="7"/>
      <c r="D34" s="7"/>
      <c r="E34" s="140" t="s">
        <v>45</v>
      </c>
      <c r="F34" s="205">
        <v>10</v>
      </c>
      <c r="G34" s="133">
        <v>0.4</v>
      </c>
      <c r="H34" s="160"/>
      <c r="I34" s="159">
        <f>F34*G34*$J$6</f>
        <v>0</v>
      </c>
      <c r="J34" s="160"/>
      <c r="K34" s="5"/>
      <c r="L34" s="50"/>
      <c r="M34" s="50"/>
      <c r="N34" s="50"/>
      <c r="O34" s="50"/>
      <c r="P34" s="50"/>
      <c r="Q34" s="50"/>
      <c r="R34" s="50"/>
      <c r="S34" s="50"/>
    </row>
    <row r="35" spans="1:19" ht="15.75">
      <c r="A35" s="232"/>
      <c r="B35" s="6" t="s">
        <v>148</v>
      </c>
      <c r="C35" s="7"/>
      <c r="D35" s="7"/>
      <c r="E35" s="140" t="s">
        <v>45</v>
      </c>
      <c r="F35" s="205">
        <v>0</v>
      </c>
      <c r="G35" s="133">
        <v>0.25</v>
      </c>
      <c r="H35" s="160"/>
      <c r="I35" s="159">
        <f>F35*G35*$J$6</f>
        <v>0</v>
      </c>
      <c r="J35" s="160"/>
      <c r="K35" s="5"/>
      <c r="L35" s="50"/>
      <c r="M35" s="50"/>
      <c r="N35" s="50"/>
      <c r="O35" s="50"/>
      <c r="P35" s="50"/>
      <c r="Q35" s="50"/>
      <c r="R35" s="50"/>
      <c r="S35" s="50"/>
    </row>
    <row r="36" spans="1:19" ht="15.75">
      <c r="A36" s="232"/>
      <c r="B36" s="6" t="s">
        <v>149</v>
      </c>
      <c r="C36" s="7"/>
      <c r="D36" s="7"/>
      <c r="E36" s="140" t="s">
        <v>45</v>
      </c>
      <c r="F36" s="205">
        <v>0</v>
      </c>
      <c r="G36" s="133">
        <v>1</v>
      </c>
      <c r="H36" s="160"/>
      <c r="I36" s="159">
        <f>F36*G36*$J$6</f>
        <v>0</v>
      </c>
      <c r="J36" s="160"/>
      <c r="K36" s="5"/>
      <c r="L36" s="50"/>
      <c r="M36" s="50"/>
      <c r="N36" s="50"/>
      <c r="O36" s="50"/>
      <c r="P36" s="50"/>
      <c r="Q36" s="50"/>
      <c r="R36" s="50"/>
      <c r="S36" s="50"/>
    </row>
    <row r="37" spans="1:19" ht="15.75">
      <c r="A37" s="232"/>
      <c r="B37" s="204" t="s">
        <v>164</v>
      </c>
      <c r="C37" s="21"/>
      <c r="D37" s="7"/>
      <c r="E37" s="140" t="s">
        <v>42</v>
      </c>
      <c r="F37" s="205">
        <v>0</v>
      </c>
      <c r="G37" s="133">
        <v>1</v>
      </c>
      <c r="H37" s="141">
        <v>1</v>
      </c>
      <c r="I37" s="152">
        <f>F37*G37*H37*$J$6</f>
        <v>0</v>
      </c>
      <c r="J37" s="152">
        <f>F37*G37*(1-H37)*$J$6</f>
        <v>0</v>
      </c>
      <c r="K37" s="5"/>
      <c r="L37" s="50"/>
      <c r="M37" s="50"/>
      <c r="N37" s="50"/>
      <c r="O37" s="50"/>
      <c r="P37" s="50"/>
      <c r="Q37" s="50"/>
      <c r="R37" s="50"/>
      <c r="S37" s="50"/>
    </row>
    <row r="38" spans="1:19" ht="15.75">
      <c r="A38" s="232"/>
      <c r="B38" s="204" t="s">
        <v>165</v>
      </c>
      <c r="C38" s="21"/>
      <c r="D38" s="7"/>
      <c r="E38" s="140" t="s">
        <v>42</v>
      </c>
      <c r="F38" s="205">
        <v>0</v>
      </c>
      <c r="G38" s="133">
        <v>1</v>
      </c>
      <c r="H38" s="141">
        <v>1</v>
      </c>
      <c r="I38" s="152">
        <f>F38*G38*H38*$J$6</f>
        <v>0</v>
      </c>
      <c r="J38" s="152">
        <f>F38*G38*(1-H38)*$J$6</f>
        <v>0</v>
      </c>
      <c r="K38" s="5"/>
      <c r="L38" s="50"/>
      <c r="M38" s="50"/>
      <c r="N38" s="50"/>
      <c r="O38" s="50"/>
      <c r="P38" s="50"/>
      <c r="Q38" s="50"/>
      <c r="R38" s="50"/>
      <c r="S38" s="50"/>
    </row>
    <row r="39" spans="1:19" ht="15.75">
      <c r="A39" s="232"/>
      <c r="B39" s="30" t="s">
        <v>150</v>
      </c>
      <c r="C39" s="7"/>
      <c r="D39" s="7"/>
      <c r="E39" s="140" t="s">
        <v>46</v>
      </c>
      <c r="F39" s="160"/>
      <c r="G39" s="160"/>
      <c r="H39" s="160"/>
      <c r="I39" s="152">
        <f>(SUM(I12:I31)+I37+I38)*'Revenue&amp;FixedCosts'!$D$17/12*$F$40</f>
        <v>0</v>
      </c>
      <c r="J39" s="152">
        <f>(SUM(J12:J31)+J37+J38)*'Revenue&amp;FixedCosts'!$D$17/12*$F$40</f>
        <v>0</v>
      </c>
      <c r="K39" s="5"/>
      <c r="L39" s="50"/>
      <c r="M39" s="50"/>
      <c r="N39" s="50"/>
      <c r="O39" s="50"/>
      <c r="P39" s="50"/>
      <c r="Q39" s="50"/>
      <c r="R39" s="50"/>
      <c r="S39" s="50"/>
    </row>
    <row r="40" spans="1:19" ht="15.75">
      <c r="A40" s="232"/>
      <c r="B40" s="6" t="s">
        <v>158</v>
      </c>
      <c r="C40" s="7"/>
      <c r="D40" s="7"/>
      <c r="E40" s="160"/>
      <c r="F40" s="133">
        <v>6</v>
      </c>
      <c r="G40" s="160"/>
      <c r="H40" s="160"/>
      <c r="I40" s="162"/>
      <c r="J40" s="163"/>
      <c r="K40" s="5"/>
      <c r="L40" s="50"/>
      <c r="M40" s="50"/>
      <c r="N40" s="50"/>
      <c r="O40" s="50"/>
      <c r="P40" s="50"/>
      <c r="Q40" s="50"/>
      <c r="R40" s="50"/>
      <c r="S40" s="50"/>
    </row>
    <row r="41" spans="1:19" ht="18.75">
      <c r="A41" s="232"/>
      <c r="B41" s="136" t="s">
        <v>160</v>
      </c>
      <c r="C41" s="10"/>
      <c r="D41" s="10"/>
      <c r="E41" s="158"/>
      <c r="F41" s="158"/>
      <c r="G41" s="158"/>
      <c r="H41" s="158"/>
      <c r="I41" s="267" t="s">
        <v>7</v>
      </c>
      <c r="J41" s="268" t="s">
        <v>6</v>
      </c>
      <c r="K41" s="5"/>
      <c r="L41" s="50"/>
      <c r="M41" s="50"/>
      <c r="N41" s="50"/>
      <c r="O41" s="50"/>
      <c r="P41" s="50"/>
      <c r="Q41" s="50"/>
      <c r="R41" s="50"/>
      <c r="S41" s="50"/>
    </row>
    <row r="42" spans="1:19" ht="15.75">
      <c r="A42" s="232"/>
      <c r="B42" s="30" t="s">
        <v>154</v>
      </c>
      <c r="C42" s="7"/>
      <c r="D42" s="7"/>
      <c r="E42" s="239"/>
      <c r="F42" s="243"/>
      <c r="G42" s="241"/>
      <c r="H42" s="242"/>
      <c r="I42" s="157"/>
      <c r="J42" s="157"/>
      <c r="K42" s="5"/>
      <c r="L42" s="50"/>
      <c r="M42" s="50"/>
      <c r="N42" s="50"/>
      <c r="O42" s="50"/>
      <c r="P42" s="50"/>
      <c r="Q42" s="50"/>
      <c r="R42" s="50"/>
      <c r="S42" s="50"/>
    </row>
    <row r="43" spans="1:19" ht="15.75">
      <c r="A43" s="232"/>
      <c r="B43" s="6" t="s">
        <v>137</v>
      </c>
      <c r="C43" s="7"/>
      <c r="D43" s="7"/>
      <c r="E43" s="140" t="s">
        <v>42</v>
      </c>
      <c r="F43" s="205">
        <f>(10808+540)/4500</f>
        <v>2.521777777777778</v>
      </c>
      <c r="G43" s="133">
        <v>1</v>
      </c>
      <c r="H43" s="141">
        <v>1</v>
      </c>
      <c r="I43" s="152">
        <f>F43*G43*H43*$J$6</f>
        <v>0</v>
      </c>
      <c r="J43" s="152">
        <f>F43*G43*(1-H43)*$J$6</f>
        <v>0</v>
      </c>
      <c r="K43" s="5"/>
      <c r="L43" s="50"/>
      <c r="M43" s="50"/>
      <c r="N43" s="50"/>
      <c r="O43" s="50"/>
      <c r="P43" s="50"/>
      <c r="Q43" s="50"/>
      <c r="R43" s="50"/>
      <c r="S43" s="50"/>
    </row>
    <row r="44" spans="1:19" ht="15.75">
      <c r="A44" s="232"/>
      <c r="B44" s="6" t="s">
        <v>138</v>
      </c>
      <c r="C44" s="7"/>
      <c r="D44" s="7"/>
      <c r="E44" s="140" t="s">
        <v>41</v>
      </c>
      <c r="F44" s="205">
        <f>14800/4500</f>
        <v>3.2888888888888888</v>
      </c>
      <c r="G44" s="133">
        <v>1</v>
      </c>
      <c r="H44" s="141">
        <v>1</v>
      </c>
      <c r="I44" s="152">
        <f>F44*G44*H44*$J$6</f>
        <v>0</v>
      </c>
      <c r="J44" s="152">
        <f>F44*G44*(1-H44)*$J$6</f>
        <v>0</v>
      </c>
      <c r="K44" s="5"/>
      <c r="L44" s="50"/>
      <c r="M44" s="50"/>
      <c r="N44" s="50"/>
      <c r="O44" s="50"/>
      <c r="P44" s="50"/>
      <c r="Q44" s="50"/>
      <c r="R44" s="50"/>
      <c r="S44" s="50"/>
    </row>
    <row r="45" spans="1:19" ht="15.75">
      <c r="A45" s="232"/>
      <c r="B45" s="6" t="s">
        <v>166</v>
      </c>
      <c r="C45" s="7"/>
      <c r="D45" s="7"/>
      <c r="E45" s="140" t="s">
        <v>41</v>
      </c>
      <c r="F45" s="205"/>
      <c r="G45" s="133">
        <v>1</v>
      </c>
      <c r="H45" s="141">
        <v>1</v>
      </c>
      <c r="I45" s="152">
        <f>F45*G45*H45*$J$6</f>
        <v>0</v>
      </c>
      <c r="J45" s="152">
        <f>F45*G45*(1-H45)*$J$6</f>
        <v>0</v>
      </c>
      <c r="K45" s="5"/>
      <c r="L45" s="50"/>
      <c r="M45" s="50"/>
      <c r="N45" s="50"/>
      <c r="O45" s="50"/>
      <c r="P45" s="50"/>
      <c r="Q45" s="50"/>
      <c r="R45" s="50"/>
      <c r="S45" s="50"/>
    </row>
    <row r="46" spans="1:19" ht="15.75">
      <c r="A46" s="232"/>
      <c r="B46" s="30" t="s">
        <v>155</v>
      </c>
      <c r="C46" s="7"/>
      <c r="D46" s="7"/>
      <c r="E46" s="239"/>
      <c r="F46" s="240"/>
      <c r="G46" s="241"/>
      <c r="H46" s="242"/>
      <c r="I46" s="157"/>
      <c r="J46" s="157"/>
      <c r="K46" s="5"/>
      <c r="L46" s="50"/>
      <c r="M46" s="50"/>
      <c r="N46" s="50"/>
      <c r="O46" s="50"/>
      <c r="P46" s="50"/>
      <c r="Q46" s="50"/>
      <c r="R46" s="50"/>
      <c r="S46" s="50"/>
    </row>
    <row r="47" spans="1:19" ht="15.75">
      <c r="A47" s="232"/>
      <c r="B47" s="6" t="s">
        <v>137</v>
      </c>
      <c r="C47" s="7"/>
      <c r="D47" s="7"/>
      <c r="E47" s="140" t="s">
        <v>42</v>
      </c>
      <c r="F47" s="205">
        <f>(8077+9387+337+469)/4500</f>
        <v>4.06</v>
      </c>
      <c r="G47" s="133">
        <v>1</v>
      </c>
      <c r="H47" s="141">
        <v>1</v>
      </c>
      <c r="I47" s="152">
        <f>F47*G47*H47*$J$6</f>
        <v>0</v>
      </c>
      <c r="J47" s="152">
        <f>F47*G47*(1-H47)*$J$6</f>
        <v>0</v>
      </c>
      <c r="K47" s="5"/>
      <c r="L47" s="50"/>
      <c r="M47" s="50"/>
      <c r="N47" s="50"/>
      <c r="O47" s="50"/>
      <c r="P47" s="50"/>
      <c r="Q47" s="50"/>
      <c r="R47" s="50"/>
      <c r="S47" s="50"/>
    </row>
    <row r="48" spans="1:19" ht="15.75">
      <c r="A48" s="232"/>
      <c r="B48" s="6" t="s">
        <v>138</v>
      </c>
      <c r="C48" s="7"/>
      <c r="D48" s="7"/>
      <c r="E48" s="140" t="s">
        <v>41</v>
      </c>
      <c r="F48" s="205">
        <f>(1750+1426)/4500</f>
        <v>0.7057777777777777</v>
      </c>
      <c r="G48" s="133">
        <v>1</v>
      </c>
      <c r="H48" s="141">
        <v>1</v>
      </c>
      <c r="I48" s="152">
        <f>F48*G48*H48*$J$6</f>
        <v>0</v>
      </c>
      <c r="J48" s="152">
        <f>F48*G48*(1-H48)*$J$6</f>
        <v>0</v>
      </c>
      <c r="K48" s="5"/>
      <c r="L48" s="50"/>
      <c r="M48" s="50"/>
      <c r="N48" s="50"/>
      <c r="O48" s="50"/>
      <c r="P48" s="50"/>
      <c r="Q48" s="50"/>
      <c r="R48" s="50"/>
      <c r="S48" s="50"/>
    </row>
    <row r="49" spans="1:19" ht="15.75">
      <c r="A49" s="232"/>
      <c r="B49" s="6" t="s">
        <v>167</v>
      </c>
      <c r="C49" s="7"/>
      <c r="D49" s="7"/>
      <c r="E49" s="140" t="s">
        <v>41</v>
      </c>
      <c r="F49" s="205"/>
      <c r="G49" s="133">
        <v>1</v>
      </c>
      <c r="H49" s="141">
        <v>1</v>
      </c>
      <c r="I49" s="152">
        <f>F49*G49*H49*$J$6</f>
        <v>0</v>
      </c>
      <c r="J49" s="152">
        <f>F49*G49*(1-H49)*$J$6</f>
        <v>0</v>
      </c>
      <c r="K49" s="5"/>
      <c r="L49" s="50"/>
      <c r="M49" s="50"/>
      <c r="N49" s="50"/>
      <c r="O49" s="50"/>
      <c r="P49" s="50"/>
      <c r="Q49" s="50"/>
      <c r="R49" s="50"/>
      <c r="S49" s="50"/>
    </row>
    <row r="50" spans="1:19" ht="15.75">
      <c r="A50" s="232"/>
      <c r="B50" s="30" t="s">
        <v>156</v>
      </c>
      <c r="C50" s="7"/>
      <c r="D50" s="7"/>
      <c r="E50" s="140" t="s">
        <v>46</v>
      </c>
      <c r="F50" s="160"/>
      <c r="G50" s="160"/>
      <c r="H50" s="160"/>
      <c r="I50" s="153">
        <f>SUM(I43:I49)*'Revenue&amp;FixedCosts'!$D$17/12*$F$51</f>
        <v>0</v>
      </c>
      <c r="J50" s="153">
        <f>SUM(J42:J48)*'Revenue&amp;FixedCosts'!$D$17/12*$F$51</f>
        <v>0</v>
      </c>
      <c r="K50" s="5"/>
      <c r="L50" s="50"/>
      <c r="M50" s="50"/>
      <c r="N50" s="50"/>
      <c r="O50" s="50"/>
      <c r="P50" s="50"/>
      <c r="Q50" s="50"/>
      <c r="R50" s="50"/>
      <c r="S50" s="50"/>
    </row>
    <row r="51" spans="1:19" ht="15.75">
      <c r="A51" s="232"/>
      <c r="B51" s="139" t="s">
        <v>157</v>
      </c>
      <c r="C51" s="7"/>
      <c r="D51" s="7"/>
      <c r="E51" s="160"/>
      <c r="F51" s="133">
        <v>1</v>
      </c>
      <c r="G51" s="160"/>
      <c r="H51" s="162"/>
      <c r="I51" s="162"/>
      <c r="J51" s="163"/>
      <c r="K51" s="5"/>
      <c r="L51" s="50"/>
      <c r="M51" s="50"/>
      <c r="N51" s="50"/>
      <c r="O51" s="50"/>
      <c r="P51" s="50"/>
      <c r="Q51" s="50"/>
      <c r="R51" s="50"/>
      <c r="S51" s="50"/>
    </row>
    <row r="52" spans="1:19" ht="15.75">
      <c r="A52" s="232"/>
      <c r="B52" s="244"/>
      <c r="C52" s="137" t="s">
        <v>118</v>
      </c>
      <c r="D52" s="135" t="str">
        <f>J3</f>
        <v>Not Used</v>
      </c>
      <c r="E52" s="138" t="s">
        <v>23</v>
      </c>
      <c r="F52" s="138"/>
      <c r="G52" s="138"/>
      <c r="H52" s="244"/>
      <c r="I52" s="198">
        <f>SUM(I12:I50)</f>
        <v>0</v>
      </c>
      <c r="J52" s="198">
        <f>SUM(J12:J50)</f>
        <v>0</v>
      </c>
      <c r="K52" s="5"/>
      <c r="L52" s="50"/>
      <c r="M52" s="50"/>
      <c r="N52" s="50"/>
      <c r="O52" s="50"/>
      <c r="P52" s="50"/>
      <c r="Q52" s="50"/>
      <c r="R52" s="50"/>
      <c r="S52" s="50"/>
    </row>
    <row r="53" spans="1:19" ht="15.75">
      <c r="A53" s="232"/>
      <c r="B53" s="7"/>
      <c r="C53" s="7"/>
      <c r="D53" s="7"/>
      <c r="E53" s="7"/>
      <c r="F53" s="7"/>
      <c r="G53" s="7"/>
      <c r="H53" s="194" t="s">
        <v>179</v>
      </c>
      <c r="I53" s="195">
        <f>IF(J6=0,0,I52/J6)</f>
        <v>0</v>
      </c>
      <c r="J53" s="197">
        <f>IF(J6=0,0,J52/J6)</f>
        <v>0</v>
      </c>
      <c r="K53" s="1"/>
      <c r="L53" s="50"/>
      <c r="M53" s="50"/>
      <c r="N53" s="50"/>
      <c r="O53" s="50"/>
      <c r="P53" s="50"/>
      <c r="Q53" s="50"/>
      <c r="R53" s="50"/>
      <c r="S53" s="50"/>
    </row>
    <row r="54" spans="1:19" ht="15.75">
      <c r="A54" s="232"/>
      <c r="B54" s="50"/>
      <c r="C54" s="50"/>
      <c r="D54" s="50"/>
      <c r="E54" s="50"/>
      <c r="F54" s="50"/>
      <c r="G54" s="7"/>
      <c r="H54" s="7"/>
      <c r="I54" s="196" t="s">
        <v>178</v>
      </c>
      <c r="J54" s="195">
        <f>I53+J53</f>
        <v>0</v>
      </c>
      <c r="K54" s="1"/>
      <c r="L54" s="50"/>
      <c r="M54" s="50"/>
      <c r="N54" s="50"/>
      <c r="O54" s="50"/>
      <c r="P54" s="50"/>
      <c r="Q54" s="50"/>
      <c r="R54" s="50"/>
      <c r="S54" s="50"/>
    </row>
    <row r="55" spans="1:19" ht="15.75">
      <c r="A55" s="232"/>
      <c r="B55" s="50"/>
      <c r="C55" s="50"/>
      <c r="D55" s="50"/>
      <c r="E55" s="50"/>
      <c r="F55" s="50"/>
      <c r="G55" s="50"/>
      <c r="H55" s="50"/>
      <c r="I55" s="253" t="s">
        <v>198</v>
      </c>
      <c r="J55" s="254" t="str">
        <f>IF(J5=0,"NA",J54/J5)</f>
        <v>NA</v>
      </c>
      <c r="K55" s="1"/>
      <c r="L55" s="50"/>
      <c r="M55" s="50"/>
      <c r="N55" s="50"/>
      <c r="O55" s="50"/>
      <c r="P55" s="50"/>
      <c r="Q55" s="50"/>
      <c r="R55" s="50"/>
      <c r="S55" s="50"/>
    </row>
    <row r="56" spans="1:19" ht="15.75">
      <c r="A56" s="232"/>
      <c r="B56" s="50"/>
      <c r="C56" s="50"/>
      <c r="D56" s="50"/>
      <c r="E56" s="50"/>
      <c r="F56" s="50"/>
      <c r="G56" s="50"/>
      <c r="H56" s="50"/>
      <c r="I56" s="196" t="s">
        <v>227</v>
      </c>
      <c r="J56" s="286">
        <f>J6*J54</f>
        <v>0</v>
      </c>
      <c r="K56" s="50"/>
      <c r="L56" s="50"/>
      <c r="M56" s="50"/>
      <c r="N56" s="50"/>
      <c r="O56" s="50"/>
      <c r="P56" s="50"/>
      <c r="Q56" s="50"/>
      <c r="R56" s="50"/>
      <c r="S56" s="50"/>
    </row>
    <row r="57" spans="1:19" ht="15.75">
      <c r="A57" s="232"/>
      <c r="B57" s="50"/>
      <c r="C57" s="50"/>
      <c r="D57" s="50"/>
      <c r="E57" s="50"/>
      <c r="F57" s="50"/>
      <c r="G57" s="50"/>
      <c r="H57" s="50"/>
      <c r="I57" s="50"/>
      <c r="J57" s="50"/>
      <c r="K57" s="50"/>
      <c r="L57" s="50"/>
      <c r="M57" s="50"/>
      <c r="N57" s="50"/>
      <c r="O57" s="50"/>
      <c r="P57" s="50"/>
      <c r="Q57" s="50"/>
      <c r="R57" s="50"/>
      <c r="S57" s="50"/>
    </row>
    <row r="58" spans="1:19" ht="15.75">
      <c r="A58" s="232"/>
      <c r="B58" s="50"/>
      <c r="C58" s="50"/>
      <c r="D58" s="50"/>
      <c r="E58" s="50"/>
      <c r="F58" s="50"/>
      <c r="G58" s="50"/>
      <c r="H58" s="50"/>
      <c r="I58" s="50"/>
      <c r="J58" s="50"/>
      <c r="K58" s="50"/>
      <c r="L58" s="50"/>
      <c r="M58" s="50"/>
      <c r="N58" s="50"/>
      <c r="O58" s="50"/>
      <c r="P58" s="50"/>
      <c r="Q58" s="50"/>
      <c r="R58" s="50"/>
      <c r="S58" s="50"/>
    </row>
    <row r="59" spans="1:19" ht="15.75">
      <c r="A59" s="232"/>
      <c r="B59" s="50"/>
      <c r="C59" s="50"/>
      <c r="D59" s="50"/>
      <c r="E59" s="50"/>
      <c r="F59" s="50"/>
      <c r="G59" s="50"/>
      <c r="H59" s="50"/>
      <c r="I59" s="50"/>
      <c r="J59" s="50"/>
      <c r="K59" s="50"/>
      <c r="L59" s="50"/>
      <c r="M59" s="50"/>
      <c r="N59" s="50"/>
      <c r="O59" s="50"/>
      <c r="P59" s="50"/>
      <c r="Q59" s="50"/>
      <c r="R59" s="50"/>
      <c r="S59" s="50"/>
    </row>
    <row r="60" spans="1:19" ht="15.75">
      <c r="A60" s="232"/>
      <c r="B60" s="50"/>
      <c r="C60" s="50"/>
      <c r="D60" s="50"/>
      <c r="E60" s="50"/>
      <c r="F60" s="50"/>
      <c r="G60" s="50"/>
      <c r="H60" s="50"/>
      <c r="I60" s="50"/>
      <c r="J60" s="50"/>
      <c r="K60" s="50"/>
      <c r="L60" s="50"/>
      <c r="M60" s="50"/>
      <c r="N60" s="50"/>
      <c r="O60" s="50"/>
      <c r="P60" s="50"/>
      <c r="Q60" s="50"/>
      <c r="R60" s="50"/>
      <c r="S60" s="50"/>
    </row>
    <row r="61" spans="1:19" ht="15.75">
      <c r="A61" s="232"/>
      <c r="B61" s="50"/>
      <c r="C61" s="50"/>
      <c r="D61" s="50"/>
      <c r="E61" s="50"/>
      <c r="F61" s="50"/>
      <c r="G61" s="50"/>
      <c r="H61" s="50"/>
      <c r="I61" s="50"/>
      <c r="J61" s="50"/>
      <c r="K61" s="50"/>
      <c r="L61" s="50"/>
      <c r="M61" s="50"/>
      <c r="N61" s="50"/>
      <c r="O61" s="50"/>
      <c r="P61" s="50"/>
      <c r="Q61" s="50"/>
      <c r="R61" s="50"/>
      <c r="S61" s="50"/>
    </row>
    <row r="62" spans="1:19" ht="15.75">
      <c r="A62" s="232"/>
      <c r="B62" s="50"/>
      <c r="C62" s="50"/>
      <c r="D62" s="50"/>
      <c r="E62" s="50"/>
      <c r="F62" s="50"/>
      <c r="G62" s="50"/>
      <c r="H62" s="50"/>
      <c r="I62" s="50"/>
      <c r="J62" s="50"/>
      <c r="K62" s="50"/>
      <c r="L62" s="50"/>
      <c r="M62" s="50"/>
      <c r="N62" s="50"/>
      <c r="O62" s="50"/>
      <c r="P62" s="50"/>
      <c r="Q62" s="50"/>
      <c r="R62" s="50"/>
      <c r="S62" s="50"/>
    </row>
    <row r="63" spans="1:19" ht="15.75">
      <c r="A63" s="232"/>
      <c r="B63" s="50"/>
      <c r="C63" s="50"/>
      <c r="D63" s="50"/>
      <c r="E63" s="50"/>
      <c r="F63" s="50"/>
      <c r="G63" s="50"/>
      <c r="H63" s="50"/>
      <c r="I63" s="50"/>
      <c r="J63" s="50"/>
      <c r="K63" s="50"/>
      <c r="L63" s="50"/>
      <c r="M63" s="50"/>
      <c r="N63" s="50"/>
      <c r="O63" s="50"/>
      <c r="P63" s="50"/>
      <c r="Q63" s="50"/>
      <c r="R63" s="50"/>
      <c r="S63" s="50"/>
    </row>
  </sheetData>
  <sheetProtection sheet="1" formatCells="0" formatColumns="0" formatRows="0"/>
  <mergeCells count="6">
    <mergeCell ref="I3:I4"/>
    <mergeCell ref="J3:J4"/>
    <mergeCell ref="E3:E4"/>
    <mergeCell ref="F3:F4"/>
    <mergeCell ref="G3:G4"/>
    <mergeCell ref="H3:H4"/>
  </mergeCells>
  <printOptions/>
  <pageMargins left="0.75" right="0.75" top="1" bottom="1" header="0.5" footer="0.5"/>
  <pageSetup fitToHeight="1" fitToWidth="1" horizontalDpi="300" verticalDpi="300" orientation="portrait" scale="47" r:id="rId1"/>
</worksheet>
</file>

<file path=xl/worksheets/sheet8.xml><?xml version="1.0" encoding="utf-8"?>
<worksheet xmlns="http://schemas.openxmlformats.org/spreadsheetml/2006/main" xmlns:r="http://schemas.openxmlformats.org/officeDocument/2006/relationships">
  <sheetPr codeName="Sheet8">
    <tabColor theme="9" tint="-0.24997000396251678"/>
    <pageSetUpPr fitToPage="1"/>
  </sheetPr>
  <dimension ref="A1:L49"/>
  <sheetViews>
    <sheetView showGridLines="0" zoomScalePageLayoutView="0" workbookViewId="0" topLeftCell="A1">
      <selection activeCell="B2" sqref="B2:J47"/>
    </sheetView>
  </sheetViews>
  <sheetFormatPr defaultColWidth="8.796875" defaultRowHeight="15"/>
  <cols>
    <col min="1" max="1" width="4.09765625" style="120" customWidth="1"/>
    <col min="2" max="6" width="11.59765625" style="0" customWidth="1"/>
    <col min="7" max="7" width="19.3984375" style="0" customWidth="1"/>
    <col min="8" max="8" width="11.5" style="0" customWidth="1"/>
    <col min="9" max="9" width="14.3984375" style="0" customWidth="1"/>
  </cols>
  <sheetData>
    <row r="1" spans="1:11" ht="18.75">
      <c r="A1" s="176"/>
      <c r="B1" s="177"/>
      <c r="C1" s="177"/>
      <c r="D1" s="177"/>
      <c r="E1" s="177"/>
      <c r="F1" s="177"/>
      <c r="G1" s="177"/>
      <c r="H1" s="177"/>
      <c r="I1" s="177"/>
      <c r="J1" s="177"/>
      <c r="K1" s="52"/>
    </row>
    <row r="2" spans="1:11" ht="19.5" thickBot="1">
      <c r="A2" s="176"/>
      <c r="B2" s="177"/>
      <c r="C2" s="177"/>
      <c r="D2" s="178" t="str">
        <f>'Revenue&amp;FixedCosts'!C8</f>
        <v>Crop#1</v>
      </c>
      <c r="E2" s="178" t="str">
        <f>'Revenue&amp;FixedCosts'!D8</f>
        <v>Crop#2</v>
      </c>
      <c r="F2" s="178" t="str">
        <f>'Revenue&amp;FixedCosts'!E8</f>
        <v>Crop#3</v>
      </c>
      <c r="G2" s="178" t="str">
        <f>'Revenue&amp;FixedCosts'!F8</f>
        <v>Crop#4</v>
      </c>
      <c r="H2" s="178" t="str">
        <f>'Revenue&amp;FixedCosts'!G8</f>
        <v>Crop#5</v>
      </c>
      <c r="I2" s="178" t="str">
        <f>'Revenue&amp;FixedCosts'!H8</f>
        <v>Crop#6</v>
      </c>
      <c r="J2" s="177"/>
      <c r="K2" s="52"/>
    </row>
    <row r="3" spans="1:11" ht="15" customHeight="1">
      <c r="A3" s="176"/>
      <c r="B3" s="177"/>
      <c r="C3" s="177"/>
      <c r="D3" s="294" t="str">
        <f>'Revenue&amp;FixedCosts'!C9</f>
        <v>Winter Wheat</v>
      </c>
      <c r="E3" s="294" t="str">
        <f>'Revenue&amp;FixedCosts'!D9</f>
        <v>Spring Wheat</v>
      </c>
      <c r="F3" s="294" t="str">
        <f>'Revenue&amp;FixedCosts'!E9</f>
        <v>Durum</v>
      </c>
      <c r="G3" s="294" t="str">
        <f>'Revenue&amp;FixedCosts'!F9</f>
        <v>Malt Barley</v>
      </c>
      <c r="H3" s="294" t="str">
        <f>'Revenue&amp;FixedCosts'!G9</f>
        <v>Summer Fallow</v>
      </c>
      <c r="I3" s="294" t="str">
        <f>'Revenue&amp;FixedCosts'!H9</f>
        <v>Not Used</v>
      </c>
      <c r="J3" s="179" t="s">
        <v>4</v>
      </c>
      <c r="K3" s="52"/>
    </row>
    <row r="4" spans="1:11" ht="18.75">
      <c r="A4" s="176"/>
      <c r="B4" s="177"/>
      <c r="C4" s="177"/>
      <c r="D4" s="295"/>
      <c r="E4" s="295"/>
      <c r="F4" s="295"/>
      <c r="G4" s="295"/>
      <c r="H4" s="295"/>
      <c r="I4" s="295"/>
      <c r="J4" s="179" t="s">
        <v>23</v>
      </c>
      <c r="K4" s="52"/>
    </row>
    <row r="5" spans="1:11" ht="18.75">
      <c r="A5" s="176"/>
      <c r="B5" s="180"/>
      <c r="C5" s="181" t="str">
        <f>'Revenue&amp;FixedCosts'!B11</f>
        <v>Number of Acres</v>
      </c>
      <c r="D5" s="182">
        <f>'Revenue&amp;FixedCosts'!C11</f>
        <v>400</v>
      </c>
      <c r="E5" s="182">
        <f>'Revenue&amp;FixedCosts'!D11</f>
        <v>750</v>
      </c>
      <c r="F5" s="182">
        <f>'Revenue&amp;FixedCosts'!E11</f>
        <v>500</v>
      </c>
      <c r="G5" s="182">
        <f>'Revenue&amp;FixedCosts'!F11</f>
        <v>300</v>
      </c>
      <c r="H5" s="182">
        <f>'Revenue&amp;FixedCosts'!G11</f>
        <v>550</v>
      </c>
      <c r="I5" s="182">
        <f>'Revenue&amp;FixedCosts'!H11</f>
        <v>0</v>
      </c>
      <c r="J5" s="182">
        <f>'Revenue&amp;FixedCosts'!I11</f>
        <v>2500</v>
      </c>
      <c r="K5" s="52"/>
    </row>
    <row r="6" spans="1:11" ht="18.75">
      <c r="A6" s="176"/>
      <c r="B6" s="177"/>
      <c r="C6" s="177"/>
      <c r="D6" s="177"/>
      <c r="E6" s="177"/>
      <c r="F6" s="177"/>
      <c r="G6" s="177"/>
      <c r="H6" s="177"/>
      <c r="I6" s="177"/>
      <c r="J6" s="177"/>
      <c r="K6" s="52"/>
    </row>
    <row r="7" spans="2:11" ht="18.75">
      <c r="B7" s="183" t="s">
        <v>103</v>
      </c>
      <c r="C7" s="184"/>
      <c r="D7" s="184"/>
      <c r="E7" s="184"/>
      <c r="F7" s="184"/>
      <c r="G7" s="184"/>
      <c r="H7" s="184"/>
      <c r="I7" s="184"/>
      <c r="J7" s="52"/>
      <c r="K7" s="52"/>
    </row>
    <row r="8" spans="2:11" ht="18.75">
      <c r="B8" s="167"/>
      <c r="C8" s="167"/>
      <c r="D8" s="167"/>
      <c r="E8" s="167"/>
      <c r="F8" s="167"/>
      <c r="G8" s="167"/>
      <c r="H8" s="167"/>
      <c r="I8" s="167"/>
      <c r="J8" s="7"/>
      <c r="K8" s="52"/>
    </row>
    <row r="9" spans="2:11" ht="18.75">
      <c r="B9" s="167"/>
      <c r="C9" s="167"/>
      <c r="D9" s="167"/>
      <c r="E9" s="167"/>
      <c r="F9" s="167"/>
      <c r="G9" s="167"/>
      <c r="H9" s="267" t="s">
        <v>52</v>
      </c>
      <c r="I9" s="268" t="s">
        <v>53</v>
      </c>
      <c r="J9" s="52"/>
      <c r="K9" s="52"/>
    </row>
    <row r="10" spans="2:11" ht="18.75">
      <c r="B10" s="41" t="s">
        <v>196</v>
      </c>
      <c r="C10" s="167"/>
      <c r="D10" s="167"/>
      <c r="E10" s="167"/>
      <c r="F10" s="167"/>
      <c r="G10" s="167"/>
      <c r="H10" s="168">
        <f>'Revenue&amp;FixedCosts'!I59</f>
        <v>45150</v>
      </c>
      <c r="I10" s="168">
        <f>'Revenue&amp;FixedCosts'!J59</f>
        <v>68500</v>
      </c>
      <c r="J10" s="52"/>
      <c r="K10" s="52"/>
    </row>
    <row r="11" spans="2:11" ht="18.75">
      <c r="B11" s="41"/>
      <c r="C11" s="167"/>
      <c r="D11" s="167"/>
      <c r="E11" s="167"/>
      <c r="F11" s="167"/>
      <c r="G11" s="172" t="s">
        <v>237</v>
      </c>
      <c r="H11" s="168"/>
      <c r="I11" s="168">
        <f>H10+I10</f>
        <v>113650</v>
      </c>
      <c r="J11" s="52"/>
      <c r="K11" s="52"/>
    </row>
    <row r="12" spans="2:11" ht="18.75">
      <c r="B12" s="41"/>
      <c r="C12" s="167"/>
      <c r="D12" s="167"/>
      <c r="E12" s="167"/>
      <c r="F12" s="167"/>
      <c r="G12" s="172"/>
      <c r="H12" s="168"/>
      <c r="I12" s="168"/>
      <c r="J12" s="52"/>
      <c r="K12" s="52"/>
    </row>
    <row r="13" spans="3:11" ht="18.75">
      <c r="C13" s="167"/>
      <c r="D13" s="172" t="s">
        <v>204</v>
      </c>
      <c r="E13" s="167" t="str">
        <f>D3</f>
        <v>Winter Wheat</v>
      </c>
      <c r="F13" s="167"/>
      <c r="G13" s="167"/>
      <c r="H13" s="269">
        <f>'Crop#1'!I52</f>
        <v>51047.505348148145</v>
      </c>
      <c r="I13" s="269">
        <f>'Crop#1'!J52</f>
        <v>5621.7888</v>
      </c>
      <c r="J13" s="52"/>
      <c r="K13" s="52"/>
    </row>
    <row r="14" spans="3:11" ht="18.75">
      <c r="C14" s="167"/>
      <c r="D14" s="172" t="s">
        <v>204</v>
      </c>
      <c r="E14" s="167" t="str">
        <f>E3</f>
        <v>Spring Wheat</v>
      </c>
      <c r="F14" s="167"/>
      <c r="G14" s="167"/>
      <c r="H14" s="269">
        <f>'Crop#2'!I52</f>
        <v>75909.60627777776</v>
      </c>
      <c r="I14" s="269">
        <f>'Crop#2'!J52</f>
        <v>6339.789</v>
      </c>
      <c r="J14" s="52"/>
      <c r="K14" s="52"/>
    </row>
    <row r="15" spans="3:11" ht="18.75">
      <c r="C15" s="167"/>
      <c r="D15" s="172" t="s">
        <v>204</v>
      </c>
      <c r="E15" s="167" t="str">
        <f>F3</f>
        <v>Durum</v>
      </c>
      <c r="F15" s="167"/>
      <c r="G15" s="167"/>
      <c r="H15" s="269">
        <f>'Crop#3'!I52</f>
        <v>54768.02418518519</v>
      </c>
      <c r="I15" s="269">
        <f>'Crop#3'!J52</f>
        <v>6772.626</v>
      </c>
      <c r="J15" s="52"/>
      <c r="K15" s="52"/>
    </row>
    <row r="16" spans="3:11" ht="18.75">
      <c r="C16" s="167"/>
      <c r="D16" s="172" t="s">
        <v>204</v>
      </c>
      <c r="E16" s="167" t="str">
        <f>G3</f>
        <v>Malt Barley</v>
      </c>
      <c r="F16" s="167"/>
      <c r="G16" s="167"/>
      <c r="H16" s="269">
        <f>'Crop#4'!I52</f>
        <v>23920.467733333335</v>
      </c>
      <c r="I16" s="269">
        <f>'Crop#4'!J52</f>
        <v>2688.6816000000003</v>
      </c>
      <c r="J16" s="52"/>
      <c r="K16" s="52"/>
    </row>
    <row r="17" spans="3:11" ht="18.75">
      <c r="C17" s="167"/>
      <c r="D17" s="172" t="s">
        <v>204</v>
      </c>
      <c r="E17" s="167" t="str">
        <f>H3</f>
        <v>Summer Fallow</v>
      </c>
      <c r="F17" s="167"/>
      <c r="G17" s="167"/>
      <c r="H17" s="269">
        <f>'Crop#5'!I52</f>
        <v>25250.043703703705</v>
      </c>
      <c r="I17" s="269">
        <f>'Crop#5'!J52</f>
        <v>0</v>
      </c>
      <c r="J17" s="52"/>
      <c r="K17" s="52"/>
    </row>
    <row r="18" spans="3:11" ht="18.75">
      <c r="C18" s="167"/>
      <c r="D18" s="172" t="s">
        <v>204</v>
      </c>
      <c r="E18" s="167" t="str">
        <f>I3</f>
        <v>Not Used</v>
      </c>
      <c r="F18" s="167"/>
      <c r="G18" s="167"/>
      <c r="H18" s="329">
        <f>'Crop#6'!I52</f>
        <v>0</v>
      </c>
      <c r="I18" s="329">
        <f>'Crop#6'!J52</f>
        <v>0</v>
      </c>
      <c r="J18" s="52"/>
      <c r="K18" s="52"/>
    </row>
    <row r="19" spans="2:12" ht="20.25">
      <c r="B19" s="167"/>
      <c r="C19" s="167"/>
      <c r="D19" s="167"/>
      <c r="E19" s="167"/>
      <c r="F19" s="167"/>
      <c r="G19" s="172" t="s">
        <v>236</v>
      </c>
      <c r="H19" s="168">
        <f>SUM(H13:H18)</f>
        <v>230895.6472481481</v>
      </c>
      <c r="I19" s="168">
        <f>SUM(I13:I18)</f>
        <v>21422.8854</v>
      </c>
      <c r="J19" s="52"/>
      <c r="K19" s="52"/>
      <c r="L19" s="322"/>
    </row>
    <row r="20" spans="10:11" ht="15.75">
      <c r="J20" s="52"/>
      <c r="K20" s="52"/>
    </row>
    <row r="21" spans="2:11" ht="18.75">
      <c r="B21" s="41" t="s">
        <v>205</v>
      </c>
      <c r="C21" s="167"/>
      <c r="D21" s="167"/>
      <c r="E21" s="167"/>
      <c r="F21" s="167"/>
      <c r="G21" s="167"/>
      <c r="H21" s="168">
        <f>H10+H19</f>
        <v>276045.6472481481</v>
      </c>
      <c r="I21" s="168">
        <f>I10+I19</f>
        <v>89922.8854</v>
      </c>
      <c r="J21" s="52"/>
      <c r="K21" s="52"/>
    </row>
    <row r="22" spans="2:11" ht="18.75">
      <c r="B22" s="41" t="s">
        <v>235</v>
      </c>
      <c r="C22" s="167"/>
      <c r="D22" s="167"/>
      <c r="E22" s="167"/>
      <c r="F22" s="167"/>
      <c r="G22" s="167"/>
      <c r="H22" s="168"/>
      <c r="I22" s="168">
        <f>H21+I21</f>
        <v>365968.53264814813</v>
      </c>
      <c r="J22" s="52"/>
      <c r="K22" s="52"/>
    </row>
    <row r="23" spans="2:11" ht="18.75">
      <c r="B23" s="167"/>
      <c r="C23" s="167"/>
      <c r="D23" s="167"/>
      <c r="E23" s="167"/>
      <c r="F23" s="167"/>
      <c r="G23" s="167"/>
      <c r="H23" s="167"/>
      <c r="I23" s="167"/>
      <c r="J23" s="52"/>
      <c r="K23" s="52"/>
    </row>
    <row r="24" spans="2:11" ht="18.75">
      <c r="B24" s="41" t="s">
        <v>55</v>
      </c>
      <c r="C24" s="167"/>
      <c r="D24" s="167"/>
      <c r="E24" s="167"/>
      <c r="F24" s="167"/>
      <c r="G24" s="167"/>
      <c r="H24" s="174">
        <f>H21/I22</f>
        <v>0.7542879308520924</v>
      </c>
      <c r="I24" s="174">
        <f>I21/I22</f>
        <v>0.24571206914790744</v>
      </c>
      <c r="J24" s="52"/>
      <c r="K24" s="52"/>
    </row>
    <row r="25" spans="2:11" ht="18.75">
      <c r="B25" s="167"/>
      <c r="C25" s="167"/>
      <c r="D25" s="167"/>
      <c r="E25" s="167"/>
      <c r="F25" s="167"/>
      <c r="G25" s="167"/>
      <c r="H25" s="167"/>
      <c r="I25" s="167"/>
      <c r="J25" s="52"/>
      <c r="K25" s="52"/>
    </row>
    <row r="26" spans="2:11" ht="18.75">
      <c r="B26" s="41" t="s">
        <v>56</v>
      </c>
      <c r="C26" s="167"/>
      <c r="D26" s="167"/>
      <c r="E26" s="167"/>
      <c r="F26" s="167"/>
      <c r="G26" s="167"/>
      <c r="H26" s="167"/>
      <c r="I26" s="167">
        <f>'Revenue&amp;FixedCosts'!I11</f>
        <v>2500</v>
      </c>
      <c r="J26" s="52"/>
      <c r="K26" s="52"/>
    </row>
    <row r="27" spans="2:11" ht="18.75">
      <c r="B27" s="41"/>
      <c r="C27" s="167"/>
      <c r="D27" s="167"/>
      <c r="E27" s="167"/>
      <c r="F27" s="167"/>
      <c r="G27" s="167"/>
      <c r="H27" s="167"/>
      <c r="I27" s="167"/>
      <c r="J27" s="52"/>
      <c r="K27" s="52"/>
    </row>
    <row r="28" spans="2:12" ht="20.25">
      <c r="B28" s="271" t="s">
        <v>206</v>
      </c>
      <c r="C28" s="272"/>
      <c r="D28" s="272"/>
      <c r="E28" s="272"/>
      <c r="F28" s="272"/>
      <c r="G28" s="272"/>
      <c r="H28" s="272"/>
      <c r="I28" s="275">
        <f>'Revenue&amp;FixedCosts'!I15</f>
        <v>645220</v>
      </c>
      <c r="J28" s="274"/>
      <c r="K28" s="52"/>
      <c r="L28" s="41"/>
    </row>
    <row r="29" spans="1:12" ht="20.25">
      <c r="A29" s="330"/>
      <c r="B29" s="331"/>
      <c r="C29" s="332"/>
      <c r="D29" s="332"/>
      <c r="E29" s="332"/>
      <c r="F29" s="332"/>
      <c r="G29" s="332"/>
      <c r="H29" s="332"/>
      <c r="I29" s="333"/>
      <c r="J29" s="274"/>
      <c r="K29" s="274"/>
      <c r="L29" s="41"/>
    </row>
    <row r="30" spans="2:11" ht="15.75">
      <c r="B30" s="6"/>
      <c r="C30" s="7"/>
      <c r="D30" s="7"/>
      <c r="E30" s="7"/>
      <c r="F30" s="7"/>
      <c r="G30" s="7"/>
      <c r="H30" s="267" t="s">
        <v>52</v>
      </c>
      <c r="I30" s="268" t="s">
        <v>53</v>
      </c>
      <c r="J30" s="52"/>
      <c r="K30" s="52"/>
    </row>
    <row r="31" spans="2:11" ht="18.75">
      <c r="B31" s="167" t="s">
        <v>207</v>
      </c>
      <c r="C31" s="167"/>
      <c r="D31" s="167"/>
      <c r="E31" s="167"/>
      <c r="F31" s="167"/>
      <c r="G31" s="167"/>
      <c r="H31" s="168">
        <f>I26*H32</f>
        <v>486681.65874438704</v>
      </c>
      <c r="I31" s="168">
        <f>I26*I32</f>
        <v>158538.34125561285</v>
      </c>
      <c r="J31" s="52"/>
      <c r="K31" s="52"/>
    </row>
    <row r="32" spans="2:12" ht="18.75">
      <c r="B32" s="41" t="s">
        <v>208</v>
      </c>
      <c r="C32" s="167"/>
      <c r="D32" s="167"/>
      <c r="E32" s="167"/>
      <c r="F32" s="167"/>
      <c r="G32" s="167"/>
      <c r="H32" s="169">
        <f>('Revenue&amp;FixedCosts'!$C$11*('Revenue&amp;FixedCosts'!$C$12*'Revenue&amp;FixedCosts'!$C$13+'Revenue&amp;FixedCosts'!$C$14)+'Revenue&amp;FixedCosts'!$D$11*('Revenue&amp;FixedCosts'!$D$12*'Revenue&amp;FixedCosts'!$D$13+'Revenue&amp;FixedCosts'!$D$14)+'Revenue&amp;FixedCosts'!$E$11*('Revenue&amp;FixedCosts'!$E$12*'Revenue&amp;FixedCosts'!$E$13+'Revenue&amp;FixedCosts'!$E$14)+'Revenue&amp;FixedCosts'!$F$11*('Revenue&amp;FixedCosts'!$F$12*'Revenue&amp;FixedCosts'!$F$13+'Revenue&amp;FixedCosts'!$F$14)+'Revenue&amp;FixedCosts'!$G$11*('Revenue&amp;FixedCosts'!$G$12*'Revenue&amp;FixedCosts'!$G$13+'Revenue&amp;FixedCosts'!$G$14)+'Revenue&amp;FixedCosts'!$H$11*('Revenue&amp;FixedCosts'!$H$12*'Revenue&amp;FixedCosts'!$H$13+'Revenue&amp;FixedCosts'!$H$14))*H24/'Revenue&amp;FixedCosts'!$I$11</f>
        <v>194.67266349775483</v>
      </c>
      <c r="I32" s="169">
        <f>('Revenue&amp;FixedCosts'!$C$11*('Revenue&amp;FixedCosts'!$C$12*'Revenue&amp;FixedCosts'!$C$13+'Revenue&amp;FixedCosts'!$C$14)+'Revenue&amp;FixedCosts'!$D$11*('Revenue&amp;FixedCosts'!$D$12*'Revenue&amp;FixedCosts'!$D$13+'Revenue&amp;FixedCosts'!$D$14)+'Revenue&amp;FixedCosts'!$E$11*('Revenue&amp;FixedCosts'!$E$12*'Revenue&amp;FixedCosts'!$E$13+'Revenue&amp;FixedCosts'!$E$14)+'Revenue&amp;FixedCosts'!$F$11*('Revenue&amp;FixedCosts'!$F$12*'Revenue&amp;FixedCosts'!$F$13+'Revenue&amp;FixedCosts'!$F$14)+'Revenue&amp;FixedCosts'!$G$11*('Revenue&amp;FixedCosts'!$G$12*'Revenue&amp;FixedCosts'!$G$13+'Revenue&amp;FixedCosts'!$G$14)+'Revenue&amp;FixedCosts'!$H$11*('Revenue&amp;FixedCosts'!$H$12*'Revenue&amp;FixedCosts'!$H$13+'Revenue&amp;FixedCosts'!$H$14))*I24/'Revenue&amp;FixedCosts'!$I$11</f>
        <v>63.41533650224514</v>
      </c>
      <c r="J32" s="52"/>
      <c r="K32" s="52"/>
      <c r="L32" s="52"/>
    </row>
    <row r="33" spans="2:11" ht="18.75">
      <c r="B33" s="185"/>
      <c r="C33" s="185"/>
      <c r="D33" s="185"/>
      <c r="E33" s="185"/>
      <c r="F33" s="185"/>
      <c r="G33" s="185"/>
      <c r="H33" s="185"/>
      <c r="I33" s="185"/>
      <c r="J33" s="17"/>
      <c r="K33" s="52"/>
    </row>
    <row r="34" spans="2:11" ht="18.75">
      <c r="B34" s="167" t="s">
        <v>209</v>
      </c>
      <c r="C34" s="167"/>
      <c r="D34" s="167"/>
      <c r="E34" s="167"/>
      <c r="F34" s="167"/>
      <c r="G34" s="167"/>
      <c r="H34" s="169">
        <f>SUM(H13:H18)/'Revenue&amp;FixedCosts'!$I$11</f>
        <v>92.35825889925924</v>
      </c>
      <c r="I34" s="169">
        <f>SUM(I13:I18)/'Revenue&amp;FixedCosts'!$I$11</f>
        <v>8.56915416</v>
      </c>
      <c r="J34" s="52"/>
      <c r="K34" s="52"/>
    </row>
    <row r="35" spans="2:11" ht="18.75">
      <c r="B35" s="167" t="s">
        <v>210</v>
      </c>
      <c r="C35" s="167"/>
      <c r="D35" s="167"/>
      <c r="E35" s="167"/>
      <c r="F35" s="167"/>
      <c r="G35" s="167"/>
      <c r="H35" s="169">
        <f>H10/'Revenue&amp;FixedCosts'!$I$11</f>
        <v>18.06</v>
      </c>
      <c r="I35" s="169">
        <f>I10/'Revenue&amp;FixedCosts'!$I$11</f>
        <v>27.4</v>
      </c>
      <c r="J35" s="52"/>
      <c r="K35" s="52"/>
    </row>
    <row r="36" spans="2:11" ht="18.75">
      <c r="B36" s="41" t="s">
        <v>57</v>
      </c>
      <c r="C36" s="167"/>
      <c r="D36" s="167"/>
      <c r="E36" s="167"/>
      <c r="F36" s="167"/>
      <c r="G36" s="167"/>
      <c r="H36" s="169">
        <f>H21/'Revenue&amp;FixedCosts'!I11</f>
        <v>110.41825889925924</v>
      </c>
      <c r="I36" s="169">
        <f>I21/'Revenue&amp;FixedCosts'!I11</f>
        <v>35.96915416</v>
      </c>
      <c r="J36" s="52"/>
      <c r="K36" s="52"/>
    </row>
    <row r="37" spans="2:11" ht="18.75">
      <c r="B37" s="167"/>
      <c r="C37" s="167"/>
      <c r="D37" s="167"/>
      <c r="E37" s="167"/>
      <c r="F37" s="167"/>
      <c r="G37" s="167"/>
      <c r="H37" s="169"/>
      <c r="I37" s="169"/>
      <c r="J37" s="52"/>
      <c r="K37" s="52"/>
    </row>
    <row r="38" spans="2:11" ht="18.75">
      <c r="B38" s="41" t="s">
        <v>168</v>
      </c>
      <c r="C38" s="167"/>
      <c r="D38" s="167"/>
      <c r="E38" s="167"/>
      <c r="F38" s="167"/>
      <c r="G38" s="167"/>
      <c r="H38" s="170">
        <f>H32-H36</f>
        <v>84.25440459849558</v>
      </c>
      <c r="I38" s="170">
        <f>I32-I36</f>
        <v>27.446182342245137</v>
      </c>
      <c r="J38" s="52"/>
      <c r="K38" s="52"/>
    </row>
    <row r="39" spans="2:11" ht="18.75">
      <c r="B39" s="167" t="s">
        <v>111</v>
      </c>
      <c r="C39" s="167"/>
      <c r="D39" s="167"/>
      <c r="E39" s="167"/>
      <c r="F39" s="167"/>
      <c r="G39" s="167"/>
      <c r="H39" s="171">
        <f>I26*H38</f>
        <v>210636.01149623896</v>
      </c>
      <c r="I39" s="171">
        <f>I26*I38</f>
        <v>68615.45585561285</v>
      </c>
      <c r="J39" s="52"/>
      <c r="K39" s="52"/>
    </row>
    <row r="40" spans="2:11" ht="18.75">
      <c r="B40" s="167"/>
      <c r="C40" s="167"/>
      <c r="D40" s="167"/>
      <c r="E40" s="167"/>
      <c r="F40" s="167"/>
      <c r="G40" s="167"/>
      <c r="H40" s="170"/>
      <c r="I40" s="170"/>
      <c r="J40" s="52"/>
      <c r="K40" s="52"/>
    </row>
    <row r="41" spans="2:11" ht="18.75">
      <c r="B41" s="167" t="s">
        <v>211</v>
      </c>
      <c r="C41" s="167"/>
      <c r="D41" s="167"/>
      <c r="E41" s="167"/>
      <c r="F41" s="167"/>
      <c r="G41" s="167"/>
      <c r="H41" s="170">
        <f>('Crop#1'!$I$52-SUM('Crop#1'!$I$33:$I$36)+'Crop#2'!$I$52-SUM('Crop#2'!$I$33:$I$36)+'Crop#3'!$I$52-SUM('Crop#3'!$I$33:$I$36)+'Crop#4'!$I$52-SUM('Crop#4'!$I$33:$I$36)+'Crop#5'!$I$52-SUM('Crop#5'!$I$33:$I$36)+'Crop#6'!$I$52-SUM('Crop#6'!$I$33:$I$36))/'Revenue&amp;FixedCosts'!$I$11</f>
        <v>88.35825889925924</v>
      </c>
      <c r="I41" s="170">
        <f>('Crop#1'!$J$52-SUM('Crop#1'!$J$33:$J$36)+'Crop#2'!$J$52-SUM('Crop#2'!$J$33:$J$36)+'Crop#3'!$J$52-SUM('Crop#3'!$J$33:$J$36)+'Crop#4'!$J$52-SUM('Crop#4'!$J$33:$J$36)+'Crop#5'!$J$52-SUM('Crop#5'!$J$33:$J$36)+'Crop#6'!$J$52-SUM('Crop#6'!$J$33:$J$36))/'Revenue&amp;FixedCosts'!$I$11</f>
        <v>8.56915416</v>
      </c>
      <c r="J41" s="52"/>
      <c r="K41" s="52"/>
    </row>
    <row r="42" spans="2:11" ht="18.75">
      <c r="B42" s="167" t="s">
        <v>212</v>
      </c>
      <c r="C42" s="167"/>
      <c r="D42" s="167"/>
      <c r="E42" s="167"/>
      <c r="F42" s="167"/>
      <c r="G42" s="167"/>
      <c r="H42" s="170">
        <f>((SUM('Revenue&amp;FixedCosts'!$I$43:$I$57))/'Revenue&amp;FixedCosts'!$I$11)</f>
        <v>1.26</v>
      </c>
      <c r="I42" s="170">
        <f>((SUM('Revenue&amp;FixedCosts'!$J$43:$J$48)+SUM('Revenue&amp;FixedCosts'!$J$52:$J$57))/'Revenue&amp;FixedCosts'!$I$11)</f>
        <v>3.1</v>
      </c>
      <c r="J42" s="52"/>
      <c r="K42" s="52"/>
    </row>
    <row r="43" spans="2:11" ht="18.75">
      <c r="B43" s="167"/>
      <c r="C43" s="167"/>
      <c r="D43" s="167"/>
      <c r="E43" s="167"/>
      <c r="F43" s="172" t="s">
        <v>213</v>
      </c>
      <c r="H43" s="170">
        <f>SUM(H41:H42)</f>
        <v>89.61825889925925</v>
      </c>
      <c r="I43" s="170">
        <f>SUM(I41:I42)</f>
        <v>11.66915416</v>
      </c>
      <c r="J43" s="52"/>
      <c r="K43" s="52"/>
    </row>
    <row r="44" spans="2:11" ht="18.75">
      <c r="B44" s="167"/>
      <c r="C44" s="167"/>
      <c r="D44" s="167"/>
      <c r="E44" s="167"/>
      <c r="F44" s="167"/>
      <c r="G44" s="167"/>
      <c r="H44" s="170"/>
      <c r="I44" s="170"/>
      <c r="J44" s="52"/>
      <c r="K44" s="52"/>
    </row>
    <row r="45" spans="2:11" ht="18.75">
      <c r="B45" s="41" t="s">
        <v>169</v>
      </c>
      <c r="C45" s="167"/>
      <c r="D45" s="167"/>
      <c r="E45" s="167"/>
      <c r="F45" s="167"/>
      <c r="G45" s="167"/>
      <c r="H45" s="170">
        <f>$H$32-((SUM('Revenue&amp;FixedCosts'!$I$43:$I$48)+SUM('Revenue&amp;FixedCosts'!$I$52:$I$57)+'Crop#1'!$I$52-SUM('Crop#1'!$I$33:$I$36)+'Crop#2'!$I$52-SUM('Crop#2'!$I$33:$I$36)+'Crop#3'!$I$52-SUM('Crop#3'!$I$33:$I$36)+'Crop#4'!$I$52-SUM('Crop#4'!$I$33:$I$36)+'Crop#5'!$I$52-SUM('Crop#5'!$I$33:$I$36)+'Crop#6'!$I$52-SUM('Crop#6'!$I$33:$I$36))/'Revenue&amp;FixedCosts'!$I$11)</f>
        <v>105.05440459849558</v>
      </c>
      <c r="I45" s="170">
        <f>$I$32-((SUM('Revenue&amp;FixedCosts'!$J$43:$J$48)+SUM('Revenue&amp;FixedCosts'!$J$52:$J$57)+'Crop#1'!$J$52-SUM('Crop#1'!$J$33:$J$36)+'Crop#2'!$J$52-SUM('Crop#2'!$J$33:$J$36)+'Crop#3'!$J$52-SUM('Crop#3'!$J$33:$J$36)+'Crop#4'!$J$52-SUM('Crop#4'!$J$33:$J$36)+'Crop#5'!$J$52-SUM('Crop#5'!$J$33:$J$36)+'Crop#6'!$J$52-SUM('Crop#6'!$J$33:$J$36))/'Revenue&amp;FixedCosts'!$I$11)</f>
        <v>51.74618234224514</v>
      </c>
      <c r="J45" s="52"/>
      <c r="K45" s="52"/>
    </row>
    <row r="46" spans="2:11" ht="18.75">
      <c r="B46" s="41" t="s">
        <v>112</v>
      </c>
      <c r="C46" s="167"/>
      <c r="D46" s="167"/>
      <c r="E46" s="167"/>
      <c r="F46" s="167"/>
      <c r="G46" s="167"/>
      <c r="H46" s="171">
        <f>I26*H45</f>
        <v>262636.01149623893</v>
      </c>
      <c r="I46" s="171">
        <f>I26*I45</f>
        <v>129365.45585561286</v>
      </c>
      <c r="J46" s="52"/>
      <c r="K46" s="52"/>
    </row>
    <row r="47" spans="2:11" ht="15.75">
      <c r="B47" s="6"/>
      <c r="C47" s="7"/>
      <c r="D47" s="7"/>
      <c r="E47" s="7"/>
      <c r="F47" s="7"/>
      <c r="G47" s="7"/>
      <c r="H47" s="7"/>
      <c r="I47" s="7"/>
      <c r="J47" s="52"/>
      <c r="K47" s="52"/>
    </row>
    <row r="48" spans="2:11" ht="15.75">
      <c r="B48" s="7"/>
      <c r="C48" s="7"/>
      <c r="D48" s="7"/>
      <c r="E48" s="7"/>
      <c r="F48" s="7"/>
      <c r="G48" s="7"/>
      <c r="H48" s="7"/>
      <c r="I48" s="7"/>
      <c r="J48" s="7"/>
      <c r="K48" s="52"/>
    </row>
    <row r="49" spans="2:11" ht="15.75">
      <c r="B49" s="50"/>
      <c r="C49" s="50"/>
      <c r="D49" s="50"/>
      <c r="E49" s="50"/>
      <c r="F49" s="50"/>
      <c r="G49" s="50"/>
      <c r="H49" s="50"/>
      <c r="I49" s="50"/>
      <c r="J49" s="50"/>
      <c r="K49" s="50"/>
    </row>
  </sheetData>
  <sheetProtection sheet="1" formatCells="0" formatColumns="0" formatRows="0"/>
  <mergeCells count="6">
    <mergeCell ref="H3:H4"/>
    <mergeCell ref="I3:I4"/>
    <mergeCell ref="D3:D4"/>
    <mergeCell ref="E3:E4"/>
    <mergeCell ref="F3:F4"/>
    <mergeCell ref="G3:G4"/>
  </mergeCells>
  <printOptions/>
  <pageMargins left="0.75" right="0.75" top="1" bottom="1" header="0.5" footer="0.5"/>
  <pageSetup fitToHeight="1" fitToWidth="1" horizontalDpi="300" verticalDpi="300" orientation="portrait" scale="71" r:id="rId3"/>
  <legacyDrawing r:id="rId2"/>
</worksheet>
</file>

<file path=xl/worksheets/sheet9.xml><?xml version="1.0" encoding="utf-8"?>
<worksheet xmlns="http://schemas.openxmlformats.org/spreadsheetml/2006/main" xmlns:r="http://schemas.openxmlformats.org/officeDocument/2006/relationships">
  <sheetPr codeName="Sheet9">
    <tabColor theme="3" tint="0.39998000860214233"/>
    <pageSetUpPr fitToPage="1"/>
  </sheetPr>
  <dimension ref="B1:O99"/>
  <sheetViews>
    <sheetView showGridLines="0" zoomScalePageLayoutView="0" workbookViewId="0" topLeftCell="A1">
      <selection activeCell="B1" sqref="B1:J32"/>
    </sheetView>
  </sheetViews>
  <sheetFormatPr defaultColWidth="8.796875" defaultRowHeight="15"/>
  <cols>
    <col min="1" max="1" width="4.09765625" style="120" customWidth="1"/>
    <col min="2" max="2" width="23.5" style="0" customWidth="1"/>
    <col min="5" max="5" width="10.69921875" style="0" customWidth="1"/>
    <col min="6" max="6" width="13.19921875" style="0" customWidth="1"/>
    <col min="7" max="7" width="10.09765625" style="0" customWidth="1"/>
    <col min="8" max="8" width="17.5" style="0" customWidth="1"/>
    <col min="9" max="9" width="15.5" style="0" customWidth="1"/>
    <col min="10" max="10" width="10.69921875" style="0" customWidth="1"/>
  </cols>
  <sheetData>
    <row r="1" spans="2:14" ht="15.75">
      <c r="B1" s="50" t="s">
        <v>100</v>
      </c>
      <c r="C1" s="50"/>
      <c r="D1" s="50"/>
      <c r="E1" s="50"/>
      <c r="F1" s="50"/>
      <c r="G1" s="50"/>
      <c r="H1" s="50"/>
      <c r="I1" s="50"/>
      <c r="J1" s="50"/>
      <c r="K1" s="50"/>
      <c r="L1" s="50"/>
      <c r="M1" s="50"/>
      <c r="N1" s="50"/>
    </row>
    <row r="2" spans="2:14" ht="18.75">
      <c r="B2" s="53" t="s">
        <v>96</v>
      </c>
      <c r="C2" s="50"/>
      <c r="D2" s="50"/>
      <c r="E2" s="50"/>
      <c r="F2" s="50"/>
      <c r="G2" s="50"/>
      <c r="H2" s="50"/>
      <c r="I2" s="50"/>
      <c r="J2" s="50"/>
      <c r="K2" s="50"/>
      <c r="L2" s="50"/>
      <c r="M2" s="50"/>
      <c r="N2" s="50"/>
    </row>
    <row r="3" spans="2:14" ht="15.75">
      <c r="B3" s="7"/>
      <c r="C3" s="7"/>
      <c r="D3" s="7"/>
      <c r="E3" s="7"/>
      <c r="F3" s="7"/>
      <c r="G3" s="7"/>
      <c r="H3" s="7"/>
      <c r="I3" s="7"/>
      <c r="J3" s="7"/>
      <c r="K3" s="1"/>
      <c r="L3" s="1"/>
      <c r="M3" s="50"/>
      <c r="N3" s="50"/>
    </row>
    <row r="4" spans="2:14" ht="20.25">
      <c r="B4" s="271" t="s">
        <v>58</v>
      </c>
      <c r="C4" s="272"/>
      <c r="D4" s="272"/>
      <c r="E4" s="272"/>
      <c r="F4" s="272"/>
      <c r="G4" s="272"/>
      <c r="H4" s="272"/>
      <c r="I4" s="272"/>
      <c r="J4" s="274"/>
      <c r="K4" s="50"/>
      <c r="L4" s="1"/>
      <c r="M4" s="50"/>
      <c r="N4" s="50"/>
    </row>
    <row r="5" spans="2:14" ht="15.75">
      <c r="B5" s="7"/>
      <c r="C5" s="7"/>
      <c r="D5" s="7"/>
      <c r="E5" s="7"/>
      <c r="F5" s="7"/>
      <c r="G5" s="7"/>
      <c r="H5" s="7"/>
      <c r="I5" s="7"/>
      <c r="J5" s="7"/>
      <c r="K5" s="1"/>
      <c r="L5" s="1"/>
      <c r="M5" s="50"/>
      <c r="N5" s="50"/>
    </row>
    <row r="6" spans="2:14" ht="22.5">
      <c r="B6" s="7" t="s">
        <v>95</v>
      </c>
      <c r="C6" s="7"/>
      <c r="D6" s="7"/>
      <c r="E6" s="7"/>
      <c r="F6" s="7"/>
      <c r="G6" s="7"/>
      <c r="H6" s="115" t="s">
        <v>220</v>
      </c>
      <c r="I6" s="7" t="s">
        <v>230</v>
      </c>
      <c r="J6" s="7"/>
      <c r="K6" s="1"/>
      <c r="L6" s="1"/>
      <c r="M6" s="50"/>
      <c r="N6" s="50"/>
    </row>
    <row r="7" spans="2:14" ht="15.75">
      <c r="B7" s="7"/>
      <c r="C7" s="7"/>
      <c r="D7" s="7"/>
      <c r="E7" s="7"/>
      <c r="F7" s="7"/>
      <c r="G7" s="7"/>
      <c r="H7" s="29"/>
      <c r="I7" s="7"/>
      <c r="J7" s="7"/>
      <c r="K7" s="1"/>
      <c r="L7" s="1"/>
      <c r="M7" s="50"/>
      <c r="N7" s="50"/>
    </row>
    <row r="8" spans="2:14" ht="15.75">
      <c r="B8" s="7" t="s">
        <v>59</v>
      </c>
      <c r="C8" s="7"/>
      <c r="D8" s="7"/>
      <c r="E8" s="7"/>
      <c r="F8" s="7"/>
      <c r="G8" s="7"/>
      <c r="H8" s="7"/>
      <c r="I8" s="7"/>
      <c r="J8" s="7"/>
      <c r="K8" s="1"/>
      <c r="L8" s="1"/>
      <c r="M8" s="50"/>
      <c r="N8" s="50"/>
    </row>
    <row r="9" spans="2:14" ht="15.75">
      <c r="B9" s="7" t="s">
        <v>217</v>
      </c>
      <c r="C9" s="7"/>
      <c r="D9" s="7"/>
      <c r="E9" s="7"/>
      <c r="F9" s="7"/>
      <c r="G9" s="7"/>
      <c r="H9" s="7"/>
      <c r="I9" s="7"/>
      <c r="J9" s="7"/>
      <c r="K9" s="114"/>
      <c r="L9" s="1"/>
      <c r="M9" s="50"/>
      <c r="N9" s="50"/>
    </row>
    <row r="10" spans="2:14" ht="15.75">
      <c r="B10" s="7" t="s">
        <v>60</v>
      </c>
      <c r="C10" s="7"/>
      <c r="D10" s="7"/>
      <c r="E10" s="7"/>
      <c r="F10" s="7"/>
      <c r="G10" s="7"/>
      <c r="H10" s="7"/>
      <c r="I10" s="7"/>
      <c r="J10" s="7"/>
      <c r="K10" s="1"/>
      <c r="L10" s="1"/>
      <c r="M10" s="50"/>
      <c r="N10" s="50"/>
    </row>
    <row r="11" spans="2:14" ht="15.75">
      <c r="B11" s="7" t="s">
        <v>218</v>
      </c>
      <c r="C11" s="7"/>
      <c r="D11" s="7"/>
      <c r="E11" s="7"/>
      <c r="F11" s="7"/>
      <c r="G11" s="7"/>
      <c r="H11" s="7"/>
      <c r="I11" s="7"/>
      <c r="J11" s="7"/>
      <c r="K11" s="1"/>
      <c r="L11" s="1"/>
      <c r="M11" s="50"/>
      <c r="N11" s="50"/>
    </row>
    <row r="12" spans="2:14" ht="16.5" thickBot="1">
      <c r="B12" s="7"/>
      <c r="C12" s="7"/>
      <c r="D12" s="7"/>
      <c r="E12" s="7"/>
      <c r="F12" s="7"/>
      <c r="G12" s="7"/>
      <c r="H12" s="267" t="s">
        <v>52</v>
      </c>
      <c r="I12" s="268" t="s">
        <v>53</v>
      </c>
      <c r="J12" s="7"/>
      <c r="K12" s="1"/>
      <c r="L12" s="1"/>
      <c r="M12" s="50"/>
      <c r="N12" s="50"/>
    </row>
    <row r="13" spans="2:14" ht="16.5" thickTop="1">
      <c r="B13" s="33" t="s">
        <v>54</v>
      </c>
      <c r="C13" s="34"/>
      <c r="D13" s="34"/>
      <c r="E13" s="34"/>
      <c r="F13" s="34"/>
      <c r="G13" s="34"/>
      <c r="H13" s="142">
        <f>IF(H6="n",CropShareResults!H21+SUM(CropShareResults!I13:I18),SUM(CropShareResults!$H$10:$H$18))</f>
        <v>297468.53264814813</v>
      </c>
      <c r="I13" s="143">
        <f>IF(H6="n",CropShareResults!I10,SUM(CropShareResults!$I$10:$I$18))</f>
        <v>68500</v>
      </c>
      <c r="J13" s="7"/>
      <c r="K13" s="1"/>
      <c r="L13" s="1"/>
      <c r="M13" s="50"/>
      <c r="N13" s="50"/>
    </row>
    <row r="14" spans="2:14" ht="15.75">
      <c r="B14" s="35"/>
      <c r="C14" s="31"/>
      <c r="D14" s="31"/>
      <c r="E14" s="32" t="s">
        <v>61</v>
      </c>
      <c r="F14" s="54"/>
      <c r="G14" s="55"/>
      <c r="H14" s="144"/>
      <c r="I14" s="145">
        <f>H13+I13</f>
        <v>365968.53264814813</v>
      </c>
      <c r="J14" s="7"/>
      <c r="K14" s="1"/>
      <c r="L14" s="1"/>
      <c r="M14" s="50"/>
      <c r="N14" s="50"/>
    </row>
    <row r="15" spans="2:14" ht="16.5" thickBot="1">
      <c r="B15" s="36" t="s">
        <v>62</v>
      </c>
      <c r="C15" s="37"/>
      <c r="D15" s="37"/>
      <c r="E15" s="37"/>
      <c r="F15" s="37"/>
      <c r="G15" s="37"/>
      <c r="H15" s="323">
        <f>H13/I14</f>
        <v>0.8128254374649808</v>
      </c>
      <c r="I15" s="324">
        <f>I13/I14</f>
        <v>0.18717456253501916</v>
      </c>
      <c r="J15" s="7"/>
      <c r="K15" s="1"/>
      <c r="L15" s="1"/>
      <c r="M15" s="50"/>
      <c r="N15" s="50"/>
    </row>
    <row r="16" spans="2:14" ht="16.5" thickTop="1">
      <c r="B16" s="50"/>
      <c r="C16" s="50"/>
      <c r="D16" s="50"/>
      <c r="E16" s="50"/>
      <c r="F16" s="50"/>
      <c r="G16" s="50"/>
      <c r="H16" s="50"/>
      <c r="I16" s="50"/>
      <c r="J16" s="7"/>
      <c r="K16" s="1"/>
      <c r="L16" s="1"/>
      <c r="M16" s="50"/>
      <c r="N16" s="50"/>
    </row>
    <row r="17" spans="2:15" ht="15.75">
      <c r="B17" s="7"/>
      <c r="C17" s="7"/>
      <c r="D17" s="7"/>
      <c r="E17" s="7"/>
      <c r="F17" s="7"/>
      <c r="G17" s="7"/>
      <c r="H17" s="7"/>
      <c r="I17" s="7"/>
      <c r="J17" s="7"/>
      <c r="K17" s="1"/>
      <c r="L17" s="1"/>
      <c r="M17" s="50"/>
      <c r="N17" s="50"/>
      <c r="O17" s="327"/>
    </row>
    <row r="18" spans="2:14" ht="15.75">
      <c r="B18" s="6" t="s">
        <v>22</v>
      </c>
      <c r="C18" s="7"/>
      <c r="D18" s="7"/>
      <c r="E18" s="7"/>
      <c r="F18" s="7"/>
      <c r="G18" s="7"/>
      <c r="H18" s="7"/>
      <c r="I18" s="52"/>
      <c r="J18" s="52" t="s">
        <v>231</v>
      </c>
      <c r="K18" s="50"/>
      <c r="L18" s="50"/>
      <c r="M18" s="50"/>
      <c r="N18" s="50"/>
    </row>
    <row r="19" spans="2:14" ht="15.75" customHeight="1">
      <c r="B19" s="7"/>
      <c r="C19" s="300" t="str">
        <f>'Revenue&amp;FixedCosts'!C9</f>
        <v>Winter Wheat</v>
      </c>
      <c r="D19" s="296" t="str">
        <f>'Revenue&amp;FixedCosts'!D9</f>
        <v>Spring Wheat</v>
      </c>
      <c r="E19" s="296" t="str">
        <f>'Revenue&amp;FixedCosts'!$E$9</f>
        <v>Durum</v>
      </c>
      <c r="F19" s="296" t="str">
        <f>'Revenue&amp;FixedCosts'!$F$9</f>
        <v>Malt Barley</v>
      </c>
      <c r="G19" s="296" t="str">
        <f>'Revenue&amp;FixedCosts'!$G$9</f>
        <v>Summer Fallow</v>
      </c>
      <c r="H19" s="298" t="str">
        <f>'Revenue&amp;FixedCosts'!$H$9</f>
        <v>Not Used</v>
      </c>
      <c r="I19" s="52"/>
      <c r="J19" s="52"/>
      <c r="K19" s="50"/>
      <c r="L19" s="50"/>
      <c r="M19" s="50"/>
      <c r="N19" s="50"/>
    </row>
    <row r="20" spans="2:14" ht="15.75">
      <c r="B20" s="27"/>
      <c r="C20" s="301"/>
      <c r="D20" s="297"/>
      <c r="E20" s="297"/>
      <c r="F20" s="297"/>
      <c r="G20" s="297"/>
      <c r="H20" s="299"/>
      <c r="I20" s="52"/>
      <c r="J20" s="52"/>
      <c r="K20" s="50"/>
      <c r="L20" s="50"/>
      <c r="M20" s="50"/>
      <c r="N20" s="50"/>
    </row>
    <row r="21" spans="2:14" ht="15.75">
      <c r="B21" s="26" t="str">
        <f>'Revenue&amp;FixedCosts'!B11</f>
        <v>Number of Acres</v>
      </c>
      <c r="C21" s="22">
        <f>'Revenue&amp;FixedCosts'!C11</f>
        <v>400</v>
      </c>
      <c r="D21" s="22">
        <f>'Revenue&amp;FixedCosts'!D11</f>
        <v>750</v>
      </c>
      <c r="E21" s="22">
        <f>'Revenue&amp;FixedCosts'!E11</f>
        <v>500</v>
      </c>
      <c r="F21" s="22">
        <f>'Revenue&amp;FixedCosts'!F11</f>
        <v>300</v>
      </c>
      <c r="G21" s="25">
        <f>'Revenue&amp;FixedCosts'!G11</f>
        <v>550</v>
      </c>
      <c r="H21" s="44">
        <f>'Revenue&amp;FixedCosts'!H11</f>
        <v>0</v>
      </c>
      <c r="J21" s="52"/>
      <c r="K21" s="50"/>
      <c r="L21" s="50"/>
      <c r="M21" s="50"/>
      <c r="N21" s="50"/>
    </row>
    <row r="22" spans="2:14" ht="15.75">
      <c r="B22" s="24" t="s">
        <v>28</v>
      </c>
      <c r="C22" s="57">
        <f>'Revenue&amp;FixedCosts'!C12</f>
        <v>42</v>
      </c>
      <c r="D22" s="16">
        <f>'Revenue&amp;FixedCosts'!D12</f>
        <v>28</v>
      </c>
      <c r="E22" s="16">
        <f>'Revenue&amp;FixedCosts'!E12</f>
        <v>22</v>
      </c>
      <c r="F22" s="45">
        <f>'Revenue&amp;FixedCosts'!$F$12</f>
        <v>52</v>
      </c>
      <c r="G22" s="16">
        <f>'Revenue&amp;FixedCosts'!G12</f>
        <v>0</v>
      </c>
      <c r="H22" s="58">
        <f>'Revenue&amp;FixedCosts'!H12</f>
        <v>0</v>
      </c>
      <c r="J22" s="52"/>
      <c r="K22" s="50"/>
      <c r="L22" s="50"/>
      <c r="M22" s="50"/>
      <c r="N22" s="50"/>
    </row>
    <row r="23" spans="2:14" ht="15.75">
      <c r="B23" s="28" t="s">
        <v>29</v>
      </c>
      <c r="C23" s="60">
        <f>'Revenue&amp;FixedCosts'!C13</f>
        <v>8.5</v>
      </c>
      <c r="D23" s="61">
        <f>'Revenue&amp;FixedCosts'!D13</f>
        <v>9.5</v>
      </c>
      <c r="E23" s="61">
        <f>'Revenue&amp;FixedCosts'!E13</f>
        <v>10</v>
      </c>
      <c r="F23" s="46">
        <f>'Revenue&amp;FixedCosts'!$F$13</f>
        <v>10.5</v>
      </c>
      <c r="G23" s="61">
        <f>'Revenue&amp;FixedCosts'!G13</f>
        <v>0</v>
      </c>
      <c r="H23" s="62">
        <f>'Revenue&amp;FixedCosts'!H13</f>
        <v>0</v>
      </c>
      <c r="J23" s="52"/>
      <c r="K23" s="56"/>
      <c r="L23" s="50"/>
      <c r="M23" s="50"/>
      <c r="N23" s="50"/>
    </row>
    <row r="24" spans="2:14" ht="15.75">
      <c r="B24" s="63" t="s">
        <v>63</v>
      </c>
      <c r="C24" s="64"/>
      <c r="D24" s="65"/>
      <c r="E24" s="65"/>
      <c r="F24" s="65"/>
      <c r="G24" s="65"/>
      <c r="H24" s="66"/>
      <c r="J24" s="52"/>
      <c r="K24" s="59"/>
      <c r="L24" s="50"/>
      <c r="M24" s="50"/>
      <c r="N24" s="50"/>
    </row>
    <row r="25" spans="2:14" ht="15.75">
      <c r="B25" s="67" t="s">
        <v>64</v>
      </c>
      <c r="C25" s="119">
        <v>0.2</v>
      </c>
      <c r="D25" s="210">
        <f>$C$25</f>
        <v>0.2</v>
      </c>
      <c r="E25" s="210">
        <f>$C$25</f>
        <v>0.2</v>
      </c>
      <c r="F25" s="210">
        <f>$C$25</f>
        <v>0.2</v>
      </c>
      <c r="G25" s="210">
        <f>$C$25</f>
        <v>0.2</v>
      </c>
      <c r="H25" s="210">
        <f>$C$25</f>
        <v>0.2</v>
      </c>
      <c r="J25" s="52"/>
      <c r="K25" s="59"/>
      <c r="L25" s="50"/>
      <c r="M25" s="50"/>
      <c r="N25" s="50"/>
    </row>
    <row r="26" spans="2:14" ht="15.75">
      <c r="B26" s="52" t="s">
        <v>233</v>
      </c>
      <c r="C26" s="69">
        <f>((C21*C22*C23)+('Revenue&amp;FixedCosts'!C14*C21))*(1-C25)*$I$15/CropShareResults!$I$26</f>
        <v>9.076379042658132</v>
      </c>
      <c r="D26" s="69">
        <f>((D21*D22*D23)+('Revenue&amp;FixedCosts'!D14*D21))*(1-D25)*$I$15/CropShareResults!$I$26</f>
        <v>12.603286863557994</v>
      </c>
      <c r="E26" s="69">
        <f>((E21*E22*E23)+('Revenue&amp;FixedCosts'!E14*E21))*(1-E25)*$I$15/CropShareResults!$I$26</f>
        <v>6.931148920496773</v>
      </c>
      <c r="F26" s="69">
        <f>((F21*F22*F23)+('Revenue&amp;FixedCosts'!F14*F21))*(1-F25)*$I$15/CropShareResults!$I$26</f>
        <v>10.035191969717522</v>
      </c>
      <c r="G26" s="69">
        <f>((G21*G22*G23)+('Revenue&amp;FixedCosts'!G14*G21))*(1-G25)*$I$15/CropShareResults!$I$26</f>
        <v>0</v>
      </c>
      <c r="H26" s="69">
        <f>((H21*H22*H23)+('Revenue&amp;FixedCosts'!H14*H21))*(1-H25)*$I$15/CropShareResults!$I$26</f>
        <v>0</v>
      </c>
      <c r="J26" s="52"/>
      <c r="K26" s="59"/>
      <c r="L26" s="50"/>
      <c r="M26" s="50"/>
      <c r="N26" s="50"/>
    </row>
    <row r="27" spans="2:14" ht="15.75">
      <c r="B27" s="52" t="s">
        <v>65</v>
      </c>
      <c r="C27" s="52"/>
      <c r="D27" s="52"/>
      <c r="E27" s="52"/>
      <c r="F27" s="52"/>
      <c r="G27" s="52"/>
      <c r="H27" s="325" t="s">
        <v>234</v>
      </c>
      <c r="I27" s="70">
        <f>SUM(C26:H26)</f>
        <v>38.64600679643042</v>
      </c>
      <c r="J27" s="52"/>
      <c r="K27" s="68"/>
      <c r="L27" s="50"/>
      <c r="M27" s="50"/>
      <c r="N27" s="50"/>
    </row>
    <row r="28" spans="2:14" ht="15.75">
      <c r="B28" s="52" t="s">
        <v>66</v>
      </c>
      <c r="C28" s="52"/>
      <c r="D28" s="52"/>
      <c r="E28" s="52"/>
      <c r="F28" s="52"/>
      <c r="G28" s="52"/>
      <c r="H28" s="325" t="s">
        <v>232</v>
      </c>
      <c r="I28" s="326">
        <f>CropShareResults!$I$26</f>
        <v>2500</v>
      </c>
      <c r="J28" s="52"/>
      <c r="K28" s="328"/>
      <c r="L28" s="50"/>
      <c r="M28" s="50"/>
      <c r="N28" s="50"/>
    </row>
    <row r="29" spans="2:14" ht="15.75">
      <c r="B29" s="52"/>
      <c r="C29" s="52"/>
      <c r="D29" s="52"/>
      <c r="E29" s="52"/>
      <c r="F29" s="50"/>
      <c r="G29" s="52"/>
      <c r="H29" s="334" t="s">
        <v>110</v>
      </c>
      <c r="I29" s="146">
        <f>I27*I28</f>
        <v>96615.01699107605</v>
      </c>
      <c r="J29" s="52"/>
      <c r="K29" s="50"/>
      <c r="L29" s="50"/>
      <c r="M29" s="50"/>
      <c r="N29" s="50"/>
    </row>
    <row r="30" spans="2:14" ht="15.75">
      <c r="B30" s="52"/>
      <c r="C30" s="52"/>
      <c r="D30" s="52"/>
      <c r="E30" s="52"/>
      <c r="F30" s="50"/>
      <c r="G30" s="52"/>
      <c r="J30" s="52"/>
      <c r="K30" s="50"/>
      <c r="L30" s="50"/>
      <c r="M30" s="50"/>
      <c r="N30" s="50"/>
    </row>
    <row r="31" spans="8:14" ht="15.75">
      <c r="H31" s="71" t="s">
        <v>136</v>
      </c>
      <c r="I31" s="147">
        <f>'Revenue&amp;FixedCosts'!I15-CashLeaseResults!I14</f>
        <v>279251.46735185187</v>
      </c>
      <c r="L31" s="50"/>
      <c r="M31" s="50"/>
      <c r="N31" s="50"/>
    </row>
    <row r="32" spans="12:14" ht="15.75">
      <c r="L32" s="50"/>
      <c r="M32" s="50"/>
      <c r="N32" s="50"/>
    </row>
    <row r="33" spans="12:14" ht="15.75">
      <c r="L33" s="50"/>
      <c r="M33" s="50"/>
      <c r="N33" s="50"/>
    </row>
    <row r="34" spans="12:14" ht="15.75">
      <c r="L34" s="50"/>
      <c r="M34" s="50"/>
      <c r="N34" s="50"/>
    </row>
    <row r="35" spans="12:14" ht="15.75">
      <c r="L35" s="50"/>
      <c r="M35" s="50"/>
      <c r="N35" s="50"/>
    </row>
    <row r="36" spans="12:14" ht="15.75">
      <c r="L36" s="50"/>
      <c r="M36" s="50"/>
      <c r="N36" s="50"/>
    </row>
    <row r="37" spans="12:14" ht="15.75">
      <c r="L37" s="50"/>
      <c r="M37" s="50"/>
      <c r="N37" s="50"/>
    </row>
    <row r="38" spans="12:14" ht="15.75" customHeight="1">
      <c r="L38" s="50"/>
      <c r="M38" s="50"/>
      <c r="N38" s="50"/>
    </row>
    <row r="39" spans="12:14" ht="15.75">
      <c r="L39" s="50"/>
      <c r="M39" s="50"/>
      <c r="N39" s="50"/>
    </row>
    <row r="40" spans="12:14" ht="15.75">
      <c r="L40" s="50"/>
      <c r="M40" s="50"/>
      <c r="N40" s="50"/>
    </row>
    <row r="41" spans="12:14" ht="15.75">
      <c r="L41" s="50"/>
      <c r="M41" s="50"/>
      <c r="N41" s="50"/>
    </row>
    <row r="42" spans="12:14" ht="15.75">
      <c r="L42" s="50"/>
      <c r="M42" s="50"/>
      <c r="N42" s="50"/>
    </row>
    <row r="43" spans="12:14" ht="15.75">
      <c r="L43" s="50"/>
      <c r="M43" s="50"/>
      <c r="N43" s="50"/>
    </row>
    <row r="44" spans="12:14" ht="15.75">
      <c r="L44" s="50"/>
      <c r="M44" s="50"/>
      <c r="N44" s="50"/>
    </row>
    <row r="45" spans="12:14" ht="15.75">
      <c r="L45" s="50"/>
      <c r="M45" s="50"/>
      <c r="N45" s="50"/>
    </row>
    <row r="46" spans="12:14" ht="15.75" customHeight="1">
      <c r="L46" s="50"/>
      <c r="M46" s="50"/>
      <c r="N46" s="50"/>
    </row>
    <row r="47" spans="12:14" ht="15.75">
      <c r="L47" s="50"/>
      <c r="M47" s="50"/>
      <c r="N47" s="50"/>
    </row>
    <row r="48" spans="12:14" ht="15.75">
      <c r="L48" s="50"/>
      <c r="M48" s="50"/>
      <c r="N48" s="50"/>
    </row>
    <row r="49" spans="12:14" ht="15.75">
      <c r="L49" s="50"/>
      <c r="M49" s="50"/>
      <c r="N49" s="50"/>
    </row>
    <row r="50" spans="12:14" ht="15.75">
      <c r="L50" s="50"/>
      <c r="M50" s="50"/>
      <c r="N50" s="50"/>
    </row>
    <row r="51" spans="12:14" ht="15.75">
      <c r="L51" s="50"/>
      <c r="M51" s="50"/>
      <c r="N51" s="50"/>
    </row>
    <row r="52" spans="12:14" ht="15.75">
      <c r="L52" s="50"/>
      <c r="M52" s="50"/>
      <c r="N52" s="50"/>
    </row>
    <row r="53" spans="12:14" ht="15.75">
      <c r="L53" s="50"/>
      <c r="M53" s="50"/>
      <c r="N53" s="50"/>
    </row>
    <row r="54" spans="12:14" ht="15.75">
      <c r="L54" s="50"/>
      <c r="M54" s="50"/>
      <c r="N54" s="50"/>
    </row>
    <row r="55" spans="12:14" ht="15.75">
      <c r="L55" s="50"/>
      <c r="M55" s="50"/>
      <c r="N55" s="50"/>
    </row>
    <row r="56" spans="12:14" ht="15.75">
      <c r="L56" s="50"/>
      <c r="M56" s="50"/>
      <c r="N56" s="50"/>
    </row>
    <row r="57" spans="12:14" ht="15.75">
      <c r="L57" s="50"/>
      <c r="M57" s="50"/>
      <c r="N57" s="50"/>
    </row>
    <row r="58" spans="12:14" ht="15.75">
      <c r="L58" s="50"/>
      <c r="M58" s="50"/>
      <c r="N58" s="50"/>
    </row>
    <row r="59" spans="12:14" ht="15.75">
      <c r="L59" s="50"/>
      <c r="M59" s="50"/>
      <c r="N59" s="50"/>
    </row>
    <row r="60" spans="12:14" ht="15.75">
      <c r="L60" s="50"/>
      <c r="M60" s="50"/>
      <c r="N60" s="50"/>
    </row>
    <row r="61" spans="12:14" ht="15.75">
      <c r="L61" s="50"/>
      <c r="M61" s="50"/>
      <c r="N61" s="50"/>
    </row>
    <row r="62" spans="12:14" ht="15.75">
      <c r="L62" s="50"/>
      <c r="M62" s="50"/>
      <c r="N62" s="50"/>
    </row>
    <row r="63" spans="12:14" ht="15.75">
      <c r="L63" s="50"/>
      <c r="M63" s="50"/>
      <c r="N63" s="50"/>
    </row>
    <row r="64" spans="12:14" ht="15.75" customHeight="1">
      <c r="L64" s="50"/>
      <c r="M64" s="50"/>
      <c r="N64" s="50"/>
    </row>
    <row r="65" spans="12:14" ht="15.75">
      <c r="L65" s="50"/>
      <c r="M65" s="50"/>
      <c r="N65" s="50"/>
    </row>
    <row r="66" spans="12:14" ht="15.75">
      <c r="L66" s="50"/>
      <c r="M66" s="50"/>
      <c r="N66" s="50"/>
    </row>
    <row r="67" spans="12:14" ht="15.75">
      <c r="L67" s="50"/>
      <c r="M67" s="50"/>
      <c r="N67" s="50"/>
    </row>
    <row r="68" spans="12:14" ht="15.75">
      <c r="L68" s="50"/>
      <c r="M68" s="50"/>
      <c r="N68" s="50"/>
    </row>
    <row r="69" spans="12:14" ht="15.75">
      <c r="L69" s="50"/>
      <c r="M69" s="50"/>
      <c r="N69" s="50"/>
    </row>
    <row r="70" spans="12:14" ht="15.75">
      <c r="L70" s="50"/>
      <c r="M70" s="50"/>
      <c r="N70" s="50"/>
    </row>
    <row r="71" spans="12:14" ht="15.75">
      <c r="L71" s="50"/>
      <c r="M71" s="50"/>
      <c r="N71" s="50"/>
    </row>
    <row r="72" spans="12:14" ht="15.75" customHeight="1">
      <c r="L72" s="50"/>
      <c r="M72" s="50"/>
      <c r="N72" s="50"/>
    </row>
    <row r="73" spans="12:14" ht="15.75">
      <c r="L73" s="50"/>
      <c r="M73" s="50"/>
      <c r="N73" s="50"/>
    </row>
    <row r="74" spans="12:14" ht="15.75">
      <c r="L74" s="50"/>
      <c r="M74" s="50"/>
      <c r="N74" s="50"/>
    </row>
    <row r="75" spans="12:14" ht="15.75">
      <c r="L75" s="50"/>
      <c r="M75" s="50"/>
      <c r="N75" s="50"/>
    </row>
    <row r="76" spans="12:14" ht="15.75">
      <c r="L76" s="50"/>
      <c r="M76" s="50"/>
      <c r="N76" s="50"/>
    </row>
    <row r="77" spans="12:14" ht="15.75">
      <c r="L77" s="50"/>
      <c r="M77" s="50"/>
      <c r="N77" s="50"/>
    </row>
    <row r="78" spans="12:14" ht="15.75">
      <c r="L78" s="50"/>
      <c r="M78" s="50"/>
      <c r="N78" s="50"/>
    </row>
    <row r="79" spans="12:14" ht="15.75">
      <c r="L79" s="50"/>
      <c r="M79" s="50"/>
      <c r="N79" s="50"/>
    </row>
    <row r="80" spans="12:14" ht="15.75">
      <c r="L80" s="50"/>
      <c r="M80" s="50"/>
      <c r="N80" s="50"/>
    </row>
    <row r="81" spans="12:14" ht="15.75">
      <c r="L81" s="50"/>
      <c r="M81" s="50"/>
      <c r="N81" s="50"/>
    </row>
    <row r="82" spans="12:14" ht="15.75">
      <c r="L82" s="50"/>
      <c r="M82" s="50"/>
      <c r="N82" s="50"/>
    </row>
    <row r="83" spans="12:14" ht="15.75">
      <c r="L83" s="50"/>
      <c r="M83" s="50"/>
      <c r="N83" s="50"/>
    </row>
    <row r="84" spans="12:14" ht="15.75" customHeight="1">
      <c r="L84" s="50"/>
      <c r="M84" s="50"/>
      <c r="N84" s="50"/>
    </row>
    <row r="85" spans="12:14" ht="15.75">
      <c r="L85" s="50"/>
      <c r="M85" s="50"/>
      <c r="N85" s="50"/>
    </row>
    <row r="86" spans="12:14" ht="15.75">
      <c r="L86" s="50"/>
      <c r="M86" s="50"/>
      <c r="N86" s="50"/>
    </row>
    <row r="87" spans="12:14" ht="15.75">
      <c r="L87" s="50"/>
      <c r="M87" s="50"/>
      <c r="N87" s="50"/>
    </row>
    <row r="88" spans="12:14" ht="15.75">
      <c r="L88" s="50"/>
      <c r="M88" s="50"/>
      <c r="N88" s="50"/>
    </row>
    <row r="89" spans="12:14" ht="15.75">
      <c r="L89" s="50"/>
      <c r="M89" s="50"/>
      <c r="N89" s="50"/>
    </row>
    <row r="90" spans="12:14" ht="15.75">
      <c r="L90" s="50"/>
      <c r="M90" s="50"/>
      <c r="N90" s="50"/>
    </row>
    <row r="91" spans="12:14" ht="15.75">
      <c r="L91" s="50"/>
      <c r="M91" s="50"/>
      <c r="N91" s="50"/>
    </row>
    <row r="92" spans="12:14" ht="15.75">
      <c r="L92" s="50"/>
      <c r="M92" s="50"/>
      <c r="N92" s="50"/>
    </row>
    <row r="93" spans="12:14" ht="15.75">
      <c r="L93" s="50"/>
      <c r="M93" s="50"/>
      <c r="N93" s="50"/>
    </row>
    <row r="94" spans="12:14" ht="15.75">
      <c r="L94" s="50"/>
      <c r="M94" s="50"/>
      <c r="N94" s="50"/>
    </row>
    <row r="95" spans="12:14" ht="15.75">
      <c r="L95" s="50"/>
      <c r="M95" s="50"/>
      <c r="N95" s="50"/>
    </row>
    <row r="96" spans="12:14" ht="15.75">
      <c r="L96" s="50"/>
      <c r="M96" s="50"/>
      <c r="N96" s="50"/>
    </row>
    <row r="97" spans="2:14" ht="15.75">
      <c r="B97" s="50"/>
      <c r="C97" s="50"/>
      <c r="D97" s="50"/>
      <c r="E97" s="50"/>
      <c r="F97" s="50"/>
      <c r="G97" s="50"/>
      <c r="H97" s="50"/>
      <c r="I97" s="50"/>
      <c r="J97" s="50"/>
      <c r="K97" s="50"/>
      <c r="L97" s="50"/>
      <c r="M97" s="50"/>
      <c r="N97" s="50"/>
    </row>
    <row r="98" spans="2:14" ht="15.75">
      <c r="B98" s="50"/>
      <c r="C98" s="50"/>
      <c r="D98" s="50"/>
      <c r="E98" s="50"/>
      <c r="F98" s="50"/>
      <c r="G98" s="50"/>
      <c r="H98" s="50"/>
      <c r="I98" s="50"/>
      <c r="J98" s="50"/>
      <c r="K98" s="50"/>
      <c r="L98" s="50"/>
      <c r="M98" s="50"/>
      <c r="N98" s="50"/>
    </row>
    <row r="99" spans="2:14" ht="15.75">
      <c r="B99" s="50"/>
      <c r="C99" s="50"/>
      <c r="D99" s="50"/>
      <c r="E99" s="50"/>
      <c r="F99" s="50"/>
      <c r="G99" s="50"/>
      <c r="H99" s="50"/>
      <c r="I99" s="50"/>
      <c r="J99" s="50"/>
      <c r="K99" s="50"/>
      <c r="L99" s="50"/>
      <c r="M99" s="50"/>
      <c r="N99" s="50"/>
    </row>
  </sheetData>
  <sheetProtection sheet="1" formatCells="0" formatColumns="0" formatRows="0"/>
  <mergeCells count="6">
    <mergeCell ref="E19:E20"/>
    <mergeCell ref="F19:F20"/>
    <mergeCell ref="G19:G20"/>
    <mergeCell ref="H19:H20"/>
    <mergeCell ref="C19:C20"/>
    <mergeCell ref="D19:D20"/>
  </mergeCells>
  <printOptions horizontalCentered="1"/>
  <pageMargins left="0.75" right="0.75" top="1" bottom="1" header="0.5" footer="0.5"/>
  <pageSetup fitToHeight="1" fitToWidth="1" horizontalDpi="300" verticalDpi="300" orientation="portrait"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Crop Leasing Calculations</dc:title>
  <dc:subject/>
  <dc:creator>Duane Griffith</dc:creator>
  <cp:keywords/>
  <dc:description/>
  <cp:lastModifiedBy>Griffith, Duane</cp:lastModifiedBy>
  <cp:lastPrinted>2011-04-12T20:18:46Z</cp:lastPrinted>
  <dcterms:created xsi:type="dcterms:W3CDTF">1997-12-23T21:55:36Z</dcterms:created>
  <dcterms:modified xsi:type="dcterms:W3CDTF">2011-04-12T20:23:10Z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